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o-adshare\share\Share\OA\Oact\PUBLIC\508 &amp; Drupal (PCDAG)\CY2025\MOOP and Cost Sharing Calculations\Original from CM\"/>
    </mc:Choice>
  </mc:AlternateContent>
  <xr:revisionPtr revIDLastSave="0" documentId="13_ncr:1_{636A6465-ECE0-4FEF-99FD-D8BEA6B50766}" xr6:coauthVersionLast="47" xr6:coauthVersionMax="47" xr10:uidLastSave="{00000000-0000-0000-0000-000000000000}"/>
  <bookViews>
    <workbookView xWindow="28680" yWindow="-120" windowWidth="29040" windowHeight="15840" tabRatio="799" xr2:uid="{00000000-000D-0000-FFFF-FFFF00000000}"/>
  </bookViews>
  <sheets>
    <sheet name="MOOP Limits" sheetId="73" r:id="rId1"/>
    <sheet name="Inpatient Hospital Acute" sheetId="78" r:id="rId2"/>
    <sheet name="Inpatient Hospital Psychiatric" sheetId="77" r:id="rId3"/>
    <sheet name="Skilled Nursing Facility" sheetId="52" r:id="rId4"/>
    <sheet name="Cardiac Rehabilitation Services" sheetId="8" r:id="rId5"/>
    <sheet name="Intensive Cardiac Rehabilitatio" sheetId="49" r:id="rId6"/>
    <sheet name="Pulmonary Rehabilitation Servic" sheetId="50" r:id="rId7"/>
    <sheet name="SET for PAD" sheetId="51" r:id="rId8"/>
    <sheet name="Emergency Services" sheetId="9" r:id="rId9"/>
    <sheet name="Urgently Needed Services" sheetId="79" r:id="rId10"/>
    <sheet name="Partial Hospitalization" sheetId="80" r:id="rId11"/>
    <sheet name="Home Health" sheetId="81" r:id="rId12"/>
    <sheet name="Primary Care Physician" sheetId="82" r:id="rId13"/>
    <sheet name="Chiropractic Care" sheetId="83" r:id="rId14"/>
    <sheet name="Occupational Therapy" sheetId="84" r:id="rId15"/>
    <sheet name="Physician Specialist" sheetId="85" r:id="rId16"/>
    <sheet name="Mental Health Specialty Service" sheetId="86" r:id="rId17"/>
    <sheet name="Psychiatric Services" sheetId="87" r:id="rId18"/>
    <sheet name="PT &amp; Speech-language Pathology" sheetId="88" r:id="rId19"/>
    <sheet name="Therapeutic Radiological Serv" sheetId="89" r:id="rId20"/>
    <sheet name="DME Diabetic Shoes or Inserts" sheetId="97" r:id="rId21"/>
    <sheet name="Dialysis Services" sheetId="92" r:id="rId22"/>
    <sheet name="Part B Drugs-Insulin" sheetId="96" r:id="rId23"/>
    <sheet name="Part B-Chemo Radiation Drugs" sheetId="93" r:id="rId24"/>
    <sheet name="Part B Drugs-Other" sheetId="95" r:id="rId2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95" l="1"/>
  <c r="C16" i="93"/>
  <c r="C11" i="92"/>
  <c r="C31" i="97"/>
  <c r="C17" i="89"/>
  <c r="D20" i="88"/>
  <c r="E20" i="88"/>
  <c r="C20" i="88"/>
  <c r="D19" i="87"/>
  <c r="E19" i="87"/>
  <c r="C19" i="87"/>
  <c r="D21" i="86"/>
  <c r="E21" i="86"/>
  <c r="C21" i="86"/>
  <c r="D22" i="85"/>
  <c r="E22" i="85"/>
  <c r="C22" i="85"/>
  <c r="D19" i="84"/>
  <c r="E19" i="84"/>
  <c r="C19" i="84"/>
  <c r="D19" i="83"/>
  <c r="E19" i="83"/>
  <c r="C19" i="83"/>
  <c r="E22" i="82"/>
  <c r="D22" i="82"/>
  <c r="C22" i="82"/>
  <c r="C11" i="81"/>
  <c r="D13" i="80"/>
  <c r="E13" i="80"/>
  <c r="C13" i="80"/>
  <c r="D19" i="79"/>
  <c r="E19" i="79"/>
  <c r="C19" i="79"/>
  <c r="D13" i="51"/>
  <c r="E13" i="51"/>
  <c r="C13" i="51"/>
  <c r="E13" i="50"/>
  <c r="D13" i="50"/>
  <c r="C13" i="50"/>
  <c r="D13" i="49"/>
  <c r="E13" i="49"/>
  <c r="C13" i="49"/>
  <c r="D13" i="8"/>
  <c r="E13" i="8"/>
  <c r="C13" i="8"/>
  <c r="D16" i="78"/>
  <c r="D39" i="73" l="1"/>
  <c r="E39" i="73"/>
  <c r="C39" i="73"/>
  <c r="F5" i="97"/>
  <c r="C35" i="97" l="1"/>
  <c r="D9" i="97"/>
  <c r="C9" i="97"/>
  <c r="F8" i="97"/>
  <c r="F7" i="97"/>
  <c r="F6" i="97"/>
  <c r="F4" i="97"/>
  <c r="F3" i="97"/>
  <c r="E7" i="97" l="1"/>
  <c r="G7" i="97" s="1"/>
  <c r="H7" i="97" s="1"/>
  <c r="E5" i="97"/>
  <c r="G5" i="97" s="1"/>
  <c r="H5" i="97" s="1"/>
  <c r="F9" i="97"/>
  <c r="E3" i="97"/>
  <c r="E6" i="97"/>
  <c r="G6" i="97" s="1"/>
  <c r="H6" i="97" s="1"/>
  <c r="E8" i="97"/>
  <c r="G8" i="97" s="1"/>
  <c r="H8" i="97" s="1"/>
  <c r="E4" i="97"/>
  <c r="G4" i="97" s="1"/>
  <c r="H4" i="97" s="1"/>
  <c r="G3" i="97" l="1"/>
  <c r="H3" i="97" s="1"/>
  <c r="H9" i="97" s="1"/>
  <c r="E9" i="97"/>
  <c r="G9" i="97" l="1"/>
  <c r="C24" i="97" l="1"/>
  <c r="C26" i="97" s="1"/>
  <c r="C30" i="97" s="1"/>
  <c r="C14" i="97"/>
  <c r="C16" i="97" s="1"/>
  <c r="C10" i="79"/>
  <c r="C32" i="97" l="1"/>
  <c r="C20" i="95"/>
  <c r="C9" i="95"/>
  <c r="C11" i="95" s="1"/>
  <c r="C15" i="95" s="1"/>
  <c r="C9" i="93"/>
  <c r="C11" i="93" s="1"/>
  <c r="C15" i="93" s="1"/>
  <c r="C20" i="93"/>
  <c r="C17" i="95" l="1"/>
  <c r="C17" i="93"/>
  <c r="C10" i="89"/>
  <c r="C6" i="86" l="1"/>
  <c r="E26" i="73" l="1"/>
  <c r="C15" i="92" l="1"/>
  <c r="C6" i="92"/>
  <c r="C10" i="92" s="1"/>
  <c r="C12" i="92" l="1"/>
  <c r="C21" i="89"/>
  <c r="C12" i="89"/>
  <c r="C16" i="89" s="1"/>
  <c r="E24" i="88"/>
  <c r="D24" i="88"/>
  <c r="C24" i="88"/>
  <c r="C5" i="88"/>
  <c r="D3" i="88" s="1"/>
  <c r="E23" i="87"/>
  <c r="D23" i="87"/>
  <c r="C23" i="87"/>
  <c r="C4" i="87"/>
  <c r="E25" i="86"/>
  <c r="D25" i="86"/>
  <c r="C25" i="86"/>
  <c r="D4" i="86"/>
  <c r="E4" i="86" s="1"/>
  <c r="E26" i="85"/>
  <c r="D26" i="85"/>
  <c r="C26" i="85"/>
  <c r="C7" i="85"/>
  <c r="D4" i="85" s="1"/>
  <c r="E4" i="85" s="1"/>
  <c r="E23" i="84"/>
  <c r="D23" i="84"/>
  <c r="C23" i="84"/>
  <c r="C4" i="84"/>
  <c r="D3" i="84" s="1"/>
  <c r="C18" i="89" l="1"/>
  <c r="D4" i="88"/>
  <c r="E4" i="88" s="1"/>
  <c r="E3" i="88"/>
  <c r="D3" i="87"/>
  <c r="E3" i="87" s="1"/>
  <c r="D3" i="86"/>
  <c r="D5" i="86"/>
  <c r="E5" i="86" s="1"/>
  <c r="D6" i="85"/>
  <c r="E6" i="85" s="1"/>
  <c r="D5" i="85"/>
  <c r="E5" i="85" s="1"/>
  <c r="D3" i="85"/>
  <c r="E3" i="85" s="1"/>
  <c r="E3" i="84"/>
  <c r="E4" i="84" s="1"/>
  <c r="C10" i="84" s="1"/>
  <c r="D4" i="84"/>
  <c r="E17" i="84" l="1"/>
  <c r="E18" i="84" s="1"/>
  <c r="E12" i="84"/>
  <c r="D17" i="84"/>
  <c r="D18" i="84" s="1"/>
  <c r="C17" i="84"/>
  <c r="C18" i="84" s="1"/>
  <c r="C12" i="84"/>
  <c r="D12" i="84"/>
  <c r="E3" i="86"/>
  <c r="E6" i="86" s="1"/>
  <c r="C12" i="86" s="1"/>
  <c r="D6" i="86"/>
  <c r="E7" i="85"/>
  <c r="C13" i="85" s="1"/>
  <c r="E5" i="88"/>
  <c r="C11" i="88" s="1"/>
  <c r="D5" i="88"/>
  <c r="E4" i="87"/>
  <c r="C10" i="87" s="1"/>
  <c r="D4" i="87"/>
  <c r="D7" i="85"/>
  <c r="C20" i="84" l="1"/>
  <c r="D20" i="84"/>
  <c r="E20" i="84"/>
  <c r="E17" i="87"/>
  <c r="E18" i="87" s="1"/>
  <c r="D12" i="87"/>
  <c r="D17" i="87"/>
  <c r="D18" i="87" s="1"/>
  <c r="C17" i="87"/>
  <c r="C18" i="87" s="1"/>
  <c r="C12" i="87"/>
  <c r="E12" i="87"/>
  <c r="D18" i="88"/>
  <c r="D19" i="88" s="1"/>
  <c r="C18" i="88"/>
  <c r="C19" i="88" s="1"/>
  <c r="E13" i="88"/>
  <c r="E18" i="88"/>
  <c r="E19" i="88" s="1"/>
  <c r="D13" i="88"/>
  <c r="C13" i="88"/>
  <c r="D20" i="85"/>
  <c r="D21" i="85" s="1"/>
  <c r="C20" i="85"/>
  <c r="C21" i="85" s="1"/>
  <c r="D15" i="85"/>
  <c r="C15" i="85"/>
  <c r="E15" i="85"/>
  <c r="E20" i="85"/>
  <c r="E21" i="85" s="1"/>
  <c r="C19" i="86"/>
  <c r="C20" i="86" s="1"/>
  <c r="E14" i="86"/>
  <c r="E19" i="86"/>
  <c r="E20" i="86" s="1"/>
  <c r="D14" i="86"/>
  <c r="C14" i="86"/>
  <c r="D19" i="86"/>
  <c r="D20" i="86" s="1"/>
  <c r="E23" i="83"/>
  <c r="D23" i="83"/>
  <c r="C23" i="83"/>
  <c r="C4" i="83"/>
  <c r="C21" i="88" l="1"/>
  <c r="E21" i="88"/>
  <c r="D21" i="88"/>
  <c r="E20" i="87"/>
  <c r="C20" i="87"/>
  <c r="D20" i="87"/>
  <c r="E23" i="85"/>
  <c r="D23" i="85"/>
  <c r="C23" i="85"/>
  <c r="E22" i="86"/>
  <c r="D22" i="86"/>
  <c r="C22" i="86"/>
  <c r="D3" i="83"/>
  <c r="C7" i="82"/>
  <c r="D5" i="82" s="1"/>
  <c r="E5" i="82" s="1"/>
  <c r="E26" i="82"/>
  <c r="D26" i="82"/>
  <c r="C26" i="82"/>
  <c r="D4" i="83" l="1"/>
  <c r="E3" i="83"/>
  <c r="E4" i="83" s="1"/>
  <c r="C10" i="83" s="1"/>
  <c r="D6" i="82"/>
  <c r="E6" i="82" s="1"/>
  <c r="D3" i="82"/>
  <c r="D4" i="82"/>
  <c r="E4" i="82" s="1"/>
  <c r="C15" i="81"/>
  <c r="C6" i="81"/>
  <c r="C10" i="81" s="1"/>
  <c r="E17" i="80"/>
  <c r="D17" i="80"/>
  <c r="C17" i="80"/>
  <c r="E11" i="80"/>
  <c r="E12" i="80" s="1"/>
  <c r="D11" i="80"/>
  <c r="D12" i="80" s="1"/>
  <c r="C11" i="80"/>
  <c r="C12" i="80" s="1"/>
  <c r="E6" i="80"/>
  <c r="D6" i="80"/>
  <c r="C6" i="80"/>
  <c r="C14" i="80" l="1"/>
  <c r="D14" i="80"/>
  <c r="E14" i="80"/>
  <c r="C12" i="83"/>
  <c r="E12" i="83"/>
  <c r="E17" i="83"/>
  <c r="E18" i="83" s="1"/>
  <c r="D17" i="83"/>
  <c r="D18" i="83" s="1"/>
  <c r="C17" i="83"/>
  <c r="C18" i="83" s="1"/>
  <c r="D12" i="83"/>
  <c r="D7" i="82"/>
  <c r="E3" i="82"/>
  <c r="E7" i="82" s="1"/>
  <c r="C13" i="82" s="1"/>
  <c r="C12" i="81"/>
  <c r="E23" i="79"/>
  <c r="D23" i="79"/>
  <c r="C23" i="79"/>
  <c r="E17" i="79"/>
  <c r="E18" i="79" s="1"/>
  <c r="D17" i="79"/>
  <c r="D18" i="79" s="1"/>
  <c r="C17" i="79"/>
  <c r="C18" i="79" s="1"/>
  <c r="E12" i="79"/>
  <c r="D12" i="79"/>
  <c r="C12" i="79"/>
  <c r="E20" i="79" l="1"/>
  <c r="C20" i="79"/>
  <c r="D20" i="79"/>
  <c r="D20" i="83"/>
  <c r="C20" i="83"/>
  <c r="E20" i="83"/>
  <c r="C15" i="82"/>
  <c r="E15" i="82"/>
  <c r="D15" i="82"/>
  <c r="E20" i="82"/>
  <c r="E21" i="82" s="1"/>
  <c r="D20" i="82"/>
  <c r="D21" i="82" s="1"/>
  <c r="C20" i="82"/>
  <c r="C21" i="82" s="1"/>
  <c r="E17" i="51"/>
  <c r="D17" i="51"/>
  <c r="C17" i="51"/>
  <c r="E11" i="51"/>
  <c r="E12" i="51" s="1"/>
  <c r="D11" i="51"/>
  <c r="D12" i="51" s="1"/>
  <c r="C11" i="51"/>
  <c r="C12" i="51" s="1"/>
  <c r="E6" i="51"/>
  <c r="D6" i="51"/>
  <c r="C6" i="51"/>
  <c r="E17" i="50"/>
  <c r="D17" i="50"/>
  <c r="C17" i="50"/>
  <c r="E11" i="50"/>
  <c r="E12" i="50" s="1"/>
  <c r="D11" i="50"/>
  <c r="D12" i="50" s="1"/>
  <c r="C11" i="50"/>
  <c r="C12" i="50" s="1"/>
  <c r="E6" i="50"/>
  <c r="D6" i="50"/>
  <c r="C6" i="50"/>
  <c r="E17" i="49"/>
  <c r="D17" i="49"/>
  <c r="C17" i="49"/>
  <c r="E11" i="49"/>
  <c r="E12" i="49" s="1"/>
  <c r="D11" i="49"/>
  <c r="D12" i="49" s="1"/>
  <c r="C11" i="49"/>
  <c r="C12" i="49" s="1"/>
  <c r="E6" i="49"/>
  <c r="D6" i="49"/>
  <c r="C6" i="49"/>
  <c r="D17" i="8"/>
  <c r="E17" i="8"/>
  <c r="C17" i="8"/>
  <c r="E11" i="8"/>
  <c r="E12" i="8" s="1"/>
  <c r="D11" i="8"/>
  <c r="D12" i="8" s="1"/>
  <c r="C11" i="8"/>
  <c r="C12" i="8" s="1"/>
  <c r="E6" i="8"/>
  <c r="D6" i="8"/>
  <c r="C6" i="8"/>
  <c r="C34" i="77"/>
  <c r="C34" i="78"/>
  <c r="C18" i="77"/>
  <c r="C25" i="77"/>
  <c r="C25" i="78"/>
  <c r="F26" i="78" s="1"/>
  <c r="C18" i="78"/>
  <c r="E38" i="73"/>
  <c r="C38" i="73"/>
  <c r="E34" i="73"/>
  <c r="E40" i="73" s="1"/>
  <c r="C34" i="73"/>
  <c r="C40" i="73" s="1"/>
  <c r="D8" i="73"/>
  <c r="D4" i="73"/>
  <c r="D6" i="73" s="1"/>
  <c r="C14" i="73" s="1"/>
  <c r="C9" i="52"/>
  <c r="D14" i="51" l="1"/>
  <c r="C14" i="51"/>
  <c r="E14" i="51"/>
  <c r="E14" i="50"/>
  <c r="D14" i="50"/>
  <c r="C14" i="50"/>
  <c r="C23" i="82"/>
  <c r="D23" i="82"/>
  <c r="E23" i="82"/>
  <c r="D14" i="49"/>
  <c r="C14" i="49"/>
  <c r="E14" i="49"/>
  <c r="E14" i="8"/>
  <c r="D14" i="8"/>
  <c r="C14" i="8"/>
  <c r="E23" i="73"/>
  <c r="E24" i="73" s="1"/>
  <c r="F16" i="78"/>
  <c r="E16" i="78"/>
  <c r="C16" i="78"/>
  <c r="C15" i="78"/>
  <c r="E16" i="77"/>
  <c r="D16" i="77"/>
  <c r="C16" i="77"/>
  <c r="C15" i="77"/>
  <c r="D34" i="73"/>
  <c r="D40" i="73" s="1"/>
  <c r="D26" i="73"/>
  <c r="C18" i="73"/>
  <c r="C4" i="73"/>
  <c r="C6" i="73" s="1"/>
  <c r="C23" i="73" s="1"/>
  <c r="C24" i="73" s="1"/>
  <c r="E17" i="78" l="1"/>
  <c r="E19" i="78" s="1"/>
  <c r="E31" i="78" s="1"/>
  <c r="F17" i="78"/>
  <c r="D17" i="78"/>
  <c r="D19" i="78" s="1"/>
  <c r="C17" i="78"/>
  <c r="C17" i="77"/>
  <c r="D17" i="77"/>
  <c r="D19" i="77" s="1"/>
  <c r="E17" i="77"/>
  <c r="E19" i="77" s="1"/>
  <c r="E24" i="78" l="1"/>
  <c r="E26" i="78" s="1"/>
  <c r="E32" i="78" s="1"/>
  <c r="E33" i="78" s="1"/>
  <c r="E35" i="78" s="1"/>
  <c r="C19" i="78"/>
  <c r="C31" i="78" s="1"/>
  <c r="D31" i="78"/>
  <c r="F24" i="78"/>
  <c r="F32" i="78" s="1"/>
  <c r="F19" i="78"/>
  <c r="F31" i="78" s="1"/>
  <c r="D24" i="78"/>
  <c r="C24" i="78"/>
  <c r="C26" i="78" s="1"/>
  <c r="C32" i="78" s="1"/>
  <c r="C19" i="77"/>
  <c r="C31" i="77" s="1"/>
  <c r="C24" i="77"/>
  <c r="D31" i="77"/>
  <c r="D24" i="77"/>
  <c r="E31" i="77"/>
  <c r="E24" i="77"/>
  <c r="C15" i="73"/>
  <c r="C16" i="73" s="1"/>
  <c r="D23" i="73" s="1"/>
  <c r="D24" i="73" s="1"/>
  <c r="F33" i="78" l="1"/>
  <c r="F35" i="78" s="1"/>
  <c r="C26" i="77"/>
  <c r="C32" i="77" s="1"/>
  <c r="C33" i="77" s="1"/>
  <c r="C35" i="77" s="1"/>
  <c r="E26" i="77"/>
  <c r="E32" i="77" s="1"/>
  <c r="E33" i="77" s="1"/>
  <c r="E35" i="77" s="1"/>
  <c r="D26" i="77"/>
  <c r="D32" i="77" s="1"/>
  <c r="D33" i="77" s="1"/>
  <c r="D35" i="77" s="1"/>
  <c r="C33" i="78"/>
  <c r="C35" i="78" s="1"/>
  <c r="D26" i="78"/>
  <c r="D32" i="78" s="1"/>
  <c r="D33" i="78" s="1"/>
  <c r="D35" i="78" s="1"/>
</calcChain>
</file>

<file path=xl/sharedStrings.xml><?xml version="1.0" encoding="utf-8"?>
<sst xmlns="http://schemas.openxmlformats.org/spreadsheetml/2006/main" count="1041" uniqueCount="288">
  <si>
    <t xml:space="preserve"> </t>
  </si>
  <si>
    <t>N/A</t>
  </si>
  <si>
    <t>Mandatory MOOP</t>
  </si>
  <si>
    <t>Intermediate MOOP</t>
  </si>
  <si>
    <t>Lower MOOP</t>
  </si>
  <si>
    <t xml:space="preserve">Family Practice </t>
  </si>
  <si>
    <t>General Practice</t>
  </si>
  <si>
    <t xml:space="preserve">Internal Medicine </t>
  </si>
  <si>
    <t>Geriatric Medicine</t>
  </si>
  <si>
    <t xml:space="preserve">Cardiology </t>
  </si>
  <si>
    <t>Gastroenterology</t>
  </si>
  <si>
    <t xml:space="preserve">Nephrology </t>
  </si>
  <si>
    <t>ENT (Otolaryngology)</t>
  </si>
  <si>
    <t xml:space="preserve">Clinical Psychologist </t>
  </si>
  <si>
    <t>Licensed Clinical Social Worker</t>
  </si>
  <si>
    <t xml:space="preserve">Psychiatry </t>
  </si>
  <si>
    <t>Physical Medicine and Rehabilitation</t>
  </si>
  <si>
    <t>Speech-language pathologists</t>
  </si>
  <si>
    <t>Total</t>
  </si>
  <si>
    <t>Weighted Average</t>
  </si>
  <si>
    <t>HCPCS Code</t>
  </si>
  <si>
    <t>Measure of Central Tendency</t>
  </si>
  <si>
    <t>Provider Specialties</t>
  </si>
  <si>
    <t>Row Reference</t>
  </si>
  <si>
    <t>Description</t>
  </si>
  <si>
    <t>Mandatory MOOP Limit</t>
  </si>
  <si>
    <t>Lower MOOP Limit</t>
  </si>
  <si>
    <t>A</t>
  </si>
  <si>
    <t>B</t>
  </si>
  <si>
    <t>C</t>
  </si>
  <si>
    <t>D</t>
  </si>
  <si>
    <t>E</t>
  </si>
  <si>
    <t>F</t>
  </si>
  <si>
    <t>G</t>
  </si>
  <si>
    <t>H</t>
  </si>
  <si>
    <t>I</t>
  </si>
  <si>
    <t>J</t>
  </si>
  <si>
    <t>K</t>
  </si>
  <si>
    <t>L</t>
  </si>
  <si>
    <t>Intermediate MOOP Limit</t>
  </si>
  <si>
    <t>Final CY 2022 to Final CY 2023 MOOP Limits</t>
  </si>
  <si>
    <t>Final CY 2022 MOOP Limits</t>
  </si>
  <si>
    <t>Final CY 2023 to Final CY 2024 MOOP Limits</t>
  </si>
  <si>
    <t>Final CY 2023 MOOP Limits</t>
  </si>
  <si>
    <t>Final CY 2024 MOOP Limits</t>
  </si>
  <si>
    <t>8 Days</t>
  </si>
  <si>
    <t>15 Days</t>
  </si>
  <si>
    <t>60 Days</t>
  </si>
  <si>
    <t>Projected Part A deductible (value from row A in Table 1)</t>
  </si>
  <si>
    <t>3 Days</t>
  </si>
  <si>
    <t>6 Days</t>
  </si>
  <si>
    <t>10 Days</t>
  </si>
  <si>
    <t>Cost Sharing Limit Calculation</t>
  </si>
  <si>
    <t>Medicare FFS Amount</t>
  </si>
  <si>
    <r>
      <t>Unrounded cost sharing limit per § 422.100(j)(1)(i)(C )</t>
    </r>
    <r>
      <rPr>
        <i/>
        <sz val="11"/>
        <color theme="1"/>
        <rFont val="Calibri"/>
        <family val="2"/>
        <scheme val="minor"/>
      </rPr>
      <t>(1)</t>
    </r>
    <r>
      <rPr>
        <sz val="11"/>
        <color theme="1"/>
        <rFont val="Calibri"/>
        <family val="2"/>
        <scheme val="minor"/>
      </rPr>
      <t xml:space="preserve"> (1/8th projected Part A deductible in row A) </t>
    </r>
  </si>
  <si>
    <r>
      <t>Actuarially Equivalent Copayment Differential per § 422.100(f)(8)(i) (difference between row G and row E)</t>
    </r>
    <r>
      <rPr>
        <vertAlign val="superscript"/>
        <sz val="11"/>
        <color theme="1"/>
        <rFont val="Calibri"/>
        <family val="2"/>
        <scheme val="minor"/>
      </rPr>
      <t>2</t>
    </r>
  </si>
  <si>
    <r>
      <rPr>
        <vertAlign val="superscript"/>
        <sz val="11"/>
        <color theme="1"/>
        <rFont val="Calibri"/>
        <family val="2"/>
        <scheme val="minor"/>
      </rPr>
      <t>1</t>
    </r>
    <r>
      <rPr>
        <sz val="11"/>
        <color theme="1"/>
        <rFont val="Calibri"/>
        <family val="2"/>
        <scheme val="minor"/>
      </rPr>
      <t xml:space="preserve"> The 20 percent coinsurance limit for home health (reflected in this table) only applies to MA plans that use the lower MOOP limit per § 422.100(j)(1)(i)(D). The home health copayment limit for the mandatory and intermediate MOOP limits is $0 in alignment with original Medicare that has no cost sharing for home health. </t>
    </r>
  </si>
  <si>
    <r>
      <rPr>
        <sz val="14"/>
        <color theme="1"/>
        <rFont val="Calibri"/>
        <family val="2"/>
        <scheme val="minor"/>
      </rPr>
      <t>Lower MOOP</t>
    </r>
    <r>
      <rPr>
        <vertAlign val="superscript"/>
        <sz val="14"/>
        <color theme="1"/>
        <rFont val="Calibri"/>
        <family val="2"/>
        <scheme val="minor"/>
      </rPr>
      <t>1</t>
    </r>
  </si>
  <si>
    <r>
      <t>Actuarially Equivalent Copayment Differential per § 422.100(f)(8)(i) (difference between row C and row E)</t>
    </r>
    <r>
      <rPr>
        <vertAlign val="superscript"/>
        <sz val="11"/>
        <color theme="1"/>
        <rFont val="Calibri"/>
        <family val="2"/>
        <scheme val="minor"/>
      </rPr>
      <t>2</t>
    </r>
  </si>
  <si>
    <t>Weighted Average (Column B x D)</t>
  </si>
  <si>
    <t>Office Allowed Professional Costs (excluding drugs)</t>
  </si>
  <si>
    <t>Number of Visits</t>
  </si>
  <si>
    <t>Percent of Total</t>
  </si>
  <si>
    <t>Primary Care Physician (Total)</t>
  </si>
  <si>
    <t>Chiropractor</t>
  </si>
  <si>
    <t>Chiropractic Care (Total)</t>
  </si>
  <si>
    <t>Final Copayment Limit</t>
  </si>
  <si>
    <t>Actuarially Equivalent Copayment Transition Calculation</t>
  </si>
  <si>
    <t>Actuarially Equivalent Copayment Value Calculation</t>
  </si>
  <si>
    <t>Occupational Therapy (Total)</t>
  </si>
  <si>
    <t>Physician Specialist (Total)</t>
  </si>
  <si>
    <t>Mental Health Specialty Services (Total)</t>
  </si>
  <si>
    <t>Psychiatric Services (Total)</t>
  </si>
  <si>
    <t>Physical Therapy and Speech-language Pathology (Total)</t>
  </si>
  <si>
    <r>
      <rPr>
        <sz val="14"/>
        <color theme="1"/>
        <rFont val="Calibri"/>
        <family val="2"/>
        <scheme val="minor"/>
      </rPr>
      <t>Mandatory MOOP Type</t>
    </r>
    <r>
      <rPr>
        <vertAlign val="superscript"/>
        <sz val="14"/>
        <color theme="1"/>
        <rFont val="Calibri"/>
        <family val="2"/>
        <scheme val="minor"/>
      </rPr>
      <t>1</t>
    </r>
  </si>
  <si>
    <t>DME Diabetic Shoes and Inserts HCPCS Description</t>
  </si>
  <si>
    <t>A5500</t>
  </si>
  <si>
    <t>Diab shoe for density insert</t>
  </si>
  <si>
    <t>Diabetic custom molded shoe</t>
  </si>
  <si>
    <t>A5501</t>
  </si>
  <si>
    <t>Multi den insert direct form</t>
  </si>
  <si>
    <t>A5512</t>
  </si>
  <si>
    <t>Multi den insert custom mold</t>
  </si>
  <si>
    <t>A5513</t>
  </si>
  <si>
    <t>Medicare FFS Allowed Service Units as Percent of Total</t>
  </si>
  <si>
    <t>All MOOP Types</t>
  </si>
  <si>
    <t>Weighted Average Price (Column E x Column F)</t>
  </si>
  <si>
    <t>Average Price (Column C / Column D)</t>
  </si>
  <si>
    <t>Median</t>
  </si>
  <si>
    <t>Medicare FFS Allowed Amount (Total Per Session)</t>
  </si>
  <si>
    <t>Medicare FFS Allowed Amount (Total Per Visit)</t>
  </si>
  <si>
    <t>A5514</t>
  </si>
  <si>
    <t xml:space="preserve"> *Per Inflation Reduction Act and § 422.100(j)(1)</t>
  </si>
  <si>
    <t xml:space="preserve">Cost sharing limit for one month's supply per insulin type per beneficiary </t>
  </si>
  <si>
    <t>Occupational Therapist in Private Practice</t>
  </si>
  <si>
    <t>$20.00/day</t>
  </si>
  <si>
    <t>$10.00/day</t>
  </si>
  <si>
    <t>$0.00/day</t>
  </si>
  <si>
    <r>
      <rPr>
        <vertAlign val="superscript"/>
        <sz val="11"/>
        <color theme="1"/>
        <rFont val="Calibri"/>
        <family val="2"/>
        <scheme val="minor"/>
      </rPr>
      <t>2</t>
    </r>
    <r>
      <rPr>
        <sz val="11"/>
        <color theme="1"/>
        <rFont val="Calibri"/>
        <family val="2"/>
        <scheme val="minor"/>
      </rPr>
      <t xml:space="preserve"> For purposes of calculating these values for the intermediate MOOP limit, the comparison amount in row E for the mandatory MOOP limit is used per § 422.100(f)(8)(i)(B).</t>
    </r>
  </si>
  <si>
    <r>
      <rPr>
        <vertAlign val="superscript"/>
        <sz val="11"/>
        <color theme="1"/>
        <rFont val="Calibri"/>
        <family val="2"/>
        <scheme val="minor"/>
      </rPr>
      <t>3</t>
    </r>
    <r>
      <rPr>
        <sz val="11"/>
        <color theme="1"/>
        <rFont val="Calibri"/>
        <family val="2"/>
        <scheme val="minor"/>
      </rPr>
      <t xml:space="preserve"> For purposes of calculating these values for the intermediate MOOP limit, the comparison amount in row E for the mandatory MOOP limit is used per § 422.100(f)(8)(i)(B).</t>
    </r>
  </si>
  <si>
    <t>A5507</t>
  </si>
  <si>
    <t xml:space="preserve">Modification diabetic shoe  </t>
  </si>
  <si>
    <r>
      <t>Projected Part A Deductible</t>
    </r>
    <r>
      <rPr>
        <vertAlign val="superscript"/>
        <sz val="11"/>
        <color theme="1"/>
        <rFont val="Calibri"/>
        <family val="2"/>
      </rPr>
      <t>1</t>
    </r>
  </si>
  <si>
    <t>Lower and Intermediate MOOP Types</t>
  </si>
  <si>
    <t>Multi den insert dir carv/cam</t>
  </si>
  <si>
    <t>CY 2025 Medicare FFS percentiles (with 100% ESRD cost differential) per § 422.100(f)(4)(v)(A) and (vi)(B) (95th percentile for the mandatory MOOP; 85th percentile for the lower MOOP)*</t>
  </si>
  <si>
    <t>Final CY 2025 MOOP Limits</t>
  </si>
  <si>
    <t>Final CY 2024 to Final CY 2025 MOOP Limits</t>
  </si>
  <si>
    <r>
      <t>100% of estimated Medicare FFS cost sharing per § 422.100(f)(6)(iv)(D)</t>
    </r>
    <r>
      <rPr>
        <i/>
        <sz val="11"/>
        <color theme="1"/>
        <rFont val="Calibri"/>
        <family val="2"/>
      </rPr>
      <t>(1)</t>
    </r>
    <r>
      <rPr>
        <sz val="11"/>
        <color theme="1"/>
        <rFont val="Calibri"/>
        <family val="2"/>
      </rPr>
      <t xml:space="preserve"> (sum of row A and B)</t>
    </r>
  </si>
  <si>
    <t>Final CY 2025 in-network mandatory MOOP limit (value in row E, mandatory MOOP column in Table 1 from "MOOP Limits" tab)</t>
  </si>
  <si>
    <t>Final CY 2025 in-network lower MOOP limit  (value in row E, lower MOOP column in Table 1 from "MOOP Limits" tab)</t>
  </si>
  <si>
    <r>
      <t>125% of estimated Medicare FFS cost sharing per § 422.100(f)(6)(iv)(D)</t>
    </r>
    <r>
      <rPr>
        <i/>
        <sz val="11"/>
        <color theme="1"/>
        <rFont val="Calibri"/>
        <family val="2"/>
      </rPr>
      <t xml:space="preserve">(3) </t>
    </r>
    <r>
      <rPr>
        <sz val="11"/>
        <color theme="1"/>
        <rFont val="Calibri"/>
        <family val="2"/>
      </rPr>
      <t>(value from row C in Table 2 multiplied by 1.25)</t>
    </r>
  </si>
  <si>
    <t xml:space="preserve">Unrounded CY 2025 inpatient hospital acute cost sharing limits for the mandatory MOOP type (values in row E from Table 2) </t>
  </si>
  <si>
    <t>Unrounded CY 2025 inpatient hospital acute cost sharing limits for the lower MOOP type (values in row C from Table 3)</t>
  </si>
  <si>
    <r>
      <t>Numeric midpoint between the unrounded inpatient hospital acute cost sharing limits for the mandatory and lower MOOP types per § 422.100(f)(6)(iv)(D)</t>
    </r>
    <r>
      <rPr>
        <i/>
        <sz val="11"/>
        <color theme="1"/>
        <rFont val="Calibri"/>
        <family val="2"/>
      </rPr>
      <t>(2)</t>
    </r>
    <r>
      <rPr>
        <sz val="11"/>
        <color theme="1"/>
        <rFont val="Calibri"/>
        <family val="2"/>
      </rPr>
      <t xml:space="preserve"> (numeric midpoint between row A and row B)</t>
    </r>
  </si>
  <si>
    <t>Final CY 2025 in-network intermediate MOOP limit (value in row D in Table 2 from "MOOP Limits" tab)</t>
  </si>
  <si>
    <t>Final CY 2025 inpatient hospital acute cost sharing limits for the mandatory MOOP type per § 422.100(f)(6)(iv) (row E rounded per § 422.100(f)(6)(ii))</t>
  </si>
  <si>
    <t>Final CY 2025 inpatient hospital acute cost sharing limits for the lower MOOP type per § 422.100(f)(6)(iv) (row C rounded per § 422.100(f)(6)(ii))</t>
  </si>
  <si>
    <t>Final CY 2025 inpatient hospital acute cost sharing limits for the intermediate MOOP type per § 422.100(f)(6)(iv) (row E rounded per § 422.100(f)(6)(ii))</t>
  </si>
  <si>
    <t>CY 2024 MOOP limit (values from Table 3 in the "Final Contract Year (CY) 2024 Standards for Part C Benefits, Bid Review, and Evaluation" HPMS memorandum issued April 14, 2023, on page 10)</t>
  </si>
  <si>
    <t>Maximum unrounded CY 2025 MOOP limit per § 422.100(f)(4)(v)(A) (110% of row A)</t>
  </si>
  <si>
    <t>Unrounded CY 2025 MOOP limit with 10% cap on increases applied per § 422.100(f)(4)(v)(A) (the lesser value comparing row B and row C)</t>
  </si>
  <si>
    <t>Rounded CY 2025 MOOP limit (row D rounded per § 422.100(f)(4)(iii))</t>
  </si>
  <si>
    <t>Lowest dollar range of the CY 2025 MOOP limit per § 422.100(f)(4)(i) ($0 for the lower MOOP and one dollar above the intermediate MOOP in Table 2, row D for the mandatory MOOP)</t>
  </si>
  <si>
    <t>Unrounded CY 2025 mandatory MOOP limit with 10% cap on increases applied (row D, mandatory MOOP limit column in Table 1)</t>
  </si>
  <si>
    <t>Unrounded CY 2025 lower MOOP limit with 10% cap on increases applied (row D, lower MOOP limit column in Table 1)</t>
  </si>
  <si>
    <t>Unrounded CY 2025 intermediate MOOP limit per § 422.100(f)(4)(v)(B) (numeric midpoint between row A and row B)</t>
  </si>
  <si>
    <t>Rounded CY 2025 intermediate MOOP limit (row C rounded per § 422.100(f)(4)(iii))</t>
  </si>
  <si>
    <t>Lowest dollar range of the CY 2025 intermediate MOOP limit per § 422.100(f)(4)(i)(B) (row E, lower MOOP limit column in Table 1 plus $1.00)</t>
  </si>
  <si>
    <t>Unrounded CY 2025 in-network MOOP limit of corresponding MOOP type with 10% cap on increases applied (values from row D in Table 1 and row C in Table 2)</t>
  </si>
  <si>
    <t>Unrounded CY 2025 combined and total catastrophic MOOP limit per § 422.101(d)(3)(ii) (row A multiplied by 1.5)</t>
  </si>
  <si>
    <t>Rounded CY 2025 combined and total catastrophic MOOP limit (row B rounded per § 422.100(f)(4)(iii))</t>
  </si>
  <si>
    <t xml:space="preserve">Lowest dollar range of the CY 2025 combined and total catastrophic MOOP limit per § 422.101(d)(3)(ii) (Lower MOOP: $0; Intermediate MOOP: one dollar above the in-network lower MOOP limit in Table 1, row E; Mandatory MOOP: one dollar above the in-network intermediate MOOP limit in Table 2, row D) </t>
  </si>
  <si>
    <t>Table 1: Contract Year (CY) 2025 Inpatient Hospital Acute Medicare FFS Data Projections</t>
  </si>
  <si>
    <r>
      <rPr>
        <vertAlign val="superscript"/>
        <sz val="11"/>
        <color theme="1"/>
        <rFont val="Calibri"/>
        <family val="2"/>
      </rPr>
      <t>2</t>
    </r>
    <r>
      <rPr>
        <sz val="11"/>
        <color theme="1"/>
        <rFont val="Calibri"/>
        <family val="2"/>
      </rPr>
      <t>These amounts contain 100% of ESRD Cost Differential per § 422.100(f)(4)(vi)(B) and (f)(6)(iv)(C)).</t>
    </r>
  </si>
  <si>
    <t>Table 1: Contract Year (CY) 2025 Inpatient Hospital Psychiatric Medicare FFS Data Projections</t>
  </si>
  <si>
    <t>Unrounded CY 2025 inpatient hospital psychiatric cost sharing limits for the mandatory MOOP type per § 422.100(f)(6)(iv)(D) (lesser value comparing row C and D)</t>
  </si>
  <si>
    <t>Unrounded CY 2025 inpatient hospital acute cost sharing limits for the mandatory MOOP type per § 422.100(f)(6)(iv)(D) (lesser value comparing row C and D)</t>
  </si>
  <si>
    <r>
      <t>Unrounded CY 2025 inpatient hospital acute cost sharing limits for the lower MOOP type per § 422.100(f)(6)(iv)(D) (lesser value comparing row A and B; except for 60-days which equals the final CY 2025 in-network lower MOOP limit from row B per § 422.100(f)(6)(iv)(D)</t>
    </r>
    <r>
      <rPr>
        <i/>
        <sz val="11"/>
        <color theme="1"/>
        <rFont val="Calibri"/>
        <family val="2"/>
      </rPr>
      <t>(3)</t>
    </r>
    <r>
      <rPr>
        <sz val="11"/>
        <color theme="1"/>
        <rFont val="Calibri"/>
        <family val="2"/>
      </rPr>
      <t>)</t>
    </r>
  </si>
  <si>
    <t>Final CY 2025 inpatient hospital psychiatric cost sharing limits for the mandatory MOOP type per § 422.100(f)(6)(iv) (row E rounded per § 422.100(f)(6)(ii))</t>
  </si>
  <si>
    <r>
      <t>125% of estimated Medicare FFS cost sharing per § 422.100(f)(6)(iv)(D)</t>
    </r>
    <r>
      <rPr>
        <i/>
        <sz val="11"/>
        <color theme="1"/>
        <rFont val="Calibri"/>
        <family val="2"/>
      </rPr>
      <t>(3)</t>
    </r>
    <r>
      <rPr>
        <sz val="11"/>
        <color theme="1"/>
        <rFont val="Calibri"/>
        <family val="2"/>
      </rPr>
      <t xml:space="preserve"> (value from row C in Table 2 multiplied by 1.25)</t>
    </r>
  </si>
  <si>
    <t>Final CY 2025 in-network lower MOOP limit (value in row E, lower MOOP column in Table 1 from "MOOP Limits" tab)</t>
  </si>
  <si>
    <t>Unrounded CY 2025 inpatient hospital psychiatric cost sharing limits for the lower MOOP type per § 422.100(f)(6)(iv)(D) (lesser value comparing row A and B)</t>
  </si>
  <si>
    <t>Final CY 2025 inpatient hospital psychiatric cost sharing limits for the lower MOOP type per § 422.100(f)(6)(iv) (row C rounded per § 422.100(f)(6)(ii))</t>
  </si>
  <si>
    <t>Unrounded CY 2025 inpatient hospital psychiatric cost sharing limits for the lower MOOP type (values in row C from Table 3)</t>
  </si>
  <si>
    <t xml:space="preserve">Unrounded CY 2025 inpatient hospital psychiatric cost sharing limits for the mandatory MOOP type (values in row E from Table 2) </t>
  </si>
  <si>
    <r>
      <t>Numeric midpoint between inpatient hospital psychiatric cost sharing limits for the mandatory and lower MOOP types per § 422.100(f)(6)(iv)(D)</t>
    </r>
    <r>
      <rPr>
        <i/>
        <sz val="11"/>
        <color theme="1"/>
        <rFont val="Calibri"/>
        <family val="2"/>
      </rPr>
      <t>(2)</t>
    </r>
    <r>
      <rPr>
        <sz val="11"/>
        <color theme="1"/>
        <rFont val="Calibri"/>
        <family val="2"/>
      </rPr>
      <t xml:space="preserve"> (numeric midpoint between row A and row B)</t>
    </r>
  </si>
  <si>
    <t>Final CY 2025 inpatient hospital psychiatric cost sharing limits for the intermediate MOOP type per § 422.100(f)(6)(iv) (row E rounded per § 422.100(f)(6)(ii))</t>
  </si>
  <si>
    <t>Unrounded CY 2025 inpatient hospital psychiatric cost sharing limits for the intermediate MOOP type per § 422.100(f)(6)(iv)(D) (lesser value comparing row C and row D)</t>
  </si>
  <si>
    <t>Unrounded CY 2025 inpatient hospital acute cost sharing limits for the intermediate MOOP type per § 422.100(f)(6)(iv)(D) (lesser value comparing row C and row D)</t>
  </si>
  <si>
    <t>Projected CY 2025 Part A Deductible*</t>
  </si>
  <si>
    <t>Final CY 2025 SNF per day cost sharing limit for the first 20 days by MOOP type per § 422.100(j)(1)(i)(C )</t>
  </si>
  <si>
    <t>Final CY 2025 SNF per day cost sharing limit for days 21 through 100 applicable to all MOOP types per § 422.100(j)(1)(i) (row B rounded per § 422.100(f)(6)(ii))</t>
  </si>
  <si>
    <t>75% of the Actuarially Equivalent Copayment Differential per § 422.100(f)(8)(ii)(C) (row H multiplied by 0.75)</t>
  </si>
  <si>
    <r>
      <rPr>
        <vertAlign val="superscript"/>
        <sz val="11"/>
        <color theme="1"/>
        <rFont val="Calibri"/>
        <family val="2"/>
        <scheme val="minor"/>
      </rPr>
      <t>2</t>
    </r>
    <r>
      <rPr>
        <sz val="11"/>
        <color theme="1"/>
        <rFont val="Calibri"/>
        <family val="2"/>
        <scheme val="minor"/>
      </rPr>
      <t xml:space="preserve"> For purposes of calculating these values for the intermediate MOOP type, the comparison amount in row E for the mandatory MOOP limit is used per § 422.100(f)(8)(i)(B).</t>
    </r>
  </si>
  <si>
    <r>
      <t>CY 2025 projected total average Medicare FFS allowed amount</t>
    </r>
    <r>
      <rPr>
        <vertAlign val="superscript"/>
        <sz val="11"/>
        <color theme="1"/>
        <rFont val="Calibri"/>
        <family val="2"/>
        <scheme val="minor"/>
      </rPr>
      <t>1</t>
    </r>
  </si>
  <si>
    <t>CY 2025 coinsurance limit per § 422.100(f)(6)(iii)(E)</t>
  </si>
  <si>
    <t xml:space="preserve">Unrounded actuarially equivalent copayment value to CY 2025 coinsurance limit per § 422.100(f)(6)(iii)(E) (row A multiplied by row B)  </t>
  </si>
  <si>
    <t xml:space="preserve">Rounded actuarially equivalent copayment value to CY 2025 coinsurance limit per § 422.100(f)(6)(iii) (row C rounded per § 422.100(f)(6)(ii))  </t>
  </si>
  <si>
    <t xml:space="preserve">CY 2022 copayment limit </t>
  </si>
  <si>
    <t>CY 2026 coinsurance limit per § 422.100(f)(6)(iii)(F)</t>
  </si>
  <si>
    <t xml:space="preserve">Unrounded actuarially equivalent copayment value to CY 2026 coinsurance limit per § 422.100(f)(6)(iii)(F) (row A multiplied by row F)  </t>
  </si>
  <si>
    <r>
      <t>Unrounded copayment value result from actuarially equivalent copayment transition formula for CY 2025 per § 422.100(f)(8)(ii)(C) (row E plus row I)</t>
    </r>
    <r>
      <rPr>
        <vertAlign val="superscript"/>
        <sz val="11"/>
        <color theme="1"/>
        <rFont val="Calibri"/>
        <family val="2"/>
        <scheme val="minor"/>
      </rPr>
      <t>2</t>
    </r>
  </si>
  <si>
    <t>Rounded copayment value result from actuarially equivalent copayment transition formula for CY 2025 per § 422.100(f)(8)(ii)(C) (row J rounded per § 422.100(f)(6)(ii))</t>
  </si>
  <si>
    <t>Final CY 2025 copayment limit per § 422.100(f)(8) (the "lesser of" value comparing row D and row K)</t>
  </si>
  <si>
    <r>
      <t>CY 2022 copayment limit</t>
    </r>
    <r>
      <rPr>
        <vertAlign val="superscript"/>
        <sz val="11"/>
        <color theme="1"/>
        <rFont val="Calibri"/>
        <family val="2"/>
        <scheme val="minor"/>
      </rPr>
      <t>2</t>
    </r>
  </si>
  <si>
    <r>
      <rPr>
        <vertAlign val="superscript"/>
        <sz val="11"/>
        <color theme="1"/>
        <rFont val="Calibri"/>
        <family val="2"/>
        <scheme val="minor"/>
      </rPr>
      <t>2</t>
    </r>
    <r>
      <rPr>
        <sz val="11"/>
        <color theme="1"/>
        <rFont val="Calibri"/>
        <family val="2"/>
        <scheme val="minor"/>
      </rPr>
      <t xml:space="preserve"> This amount reflects the copayment limit for the "psychiatric and mental health specialty services" service category as it was named for CY 2022. </t>
    </r>
  </si>
  <si>
    <r>
      <rPr>
        <vertAlign val="superscript"/>
        <sz val="11"/>
        <color theme="1"/>
        <rFont val="Calibri"/>
        <family val="2"/>
        <scheme val="minor"/>
      </rPr>
      <t>2</t>
    </r>
    <r>
      <rPr>
        <sz val="11"/>
        <color theme="1"/>
        <rFont val="Calibri"/>
        <family val="2"/>
        <scheme val="minor"/>
      </rPr>
      <t xml:space="preserve"> Section 422.100(f)(8)(i) requires use of Medicare FFS data projections based on the coinsurance limits that would apply in 2026, which is necessary for service categories subject to paragraph (f)(6)(iii), where the coinsurance percentages are changing overtime. For purposes of paragraph (j)(1), the applicable coinsurance percentage is the same for CY 2024 through 2026 and thereafter, unless the cost sharing requirements in original Medicare change. </t>
    </r>
  </si>
  <si>
    <r>
      <t>CY 2025 projected total average Medicare FFS allowed amount</t>
    </r>
    <r>
      <rPr>
        <vertAlign val="superscript"/>
        <sz val="11"/>
        <rFont val="Calibri"/>
        <family val="2"/>
        <scheme val="minor"/>
      </rPr>
      <t>1</t>
    </r>
  </si>
  <si>
    <r>
      <t>Final CY 2025 emergency services cost sharing limit per visit by MOOP type per § 422.113(b)(2)(v)(B)</t>
    </r>
    <r>
      <rPr>
        <i/>
        <sz val="11"/>
        <color theme="1"/>
        <rFont val="Calibri"/>
        <family val="2"/>
        <scheme val="minor"/>
      </rPr>
      <t>(3)</t>
    </r>
  </si>
  <si>
    <t>Table 1: Contract Year (CY) 2025 Urgently Needed Services Medicare FFS Data Projections</t>
  </si>
  <si>
    <r>
      <t>CY 2025 projected total average Medicare FFS allowed amount per day</t>
    </r>
    <r>
      <rPr>
        <vertAlign val="superscript"/>
        <sz val="11"/>
        <rFont val="Calibri"/>
        <family val="2"/>
        <scheme val="minor"/>
      </rPr>
      <t>1</t>
    </r>
  </si>
  <si>
    <r>
      <t>CY 2025 projected total average Medicare FFS allowed amount</t>
    </r>
    <r>
      <rPr>
        <vertAlign val="superscript"/>
        <sz val="11"/>
        <rFont val="Calibri"/>
        <family val="2"/>
        <scheme val="minor"/>
      </rPr>
      <t>2</t>
    </r>
  </si>
  <si>
    <t>CY 2025 coinsurance limit per § 422.100(j)(1)</t>
  </si>
  <si>
    <t xml:space="preserve">Unrounded actuarially equivalent copayment value to CY 2025 coinsurance limit per § 422.100(j)(1) (row A multiplied by row B)  </t>
  </si>
  <si>
    <t xml:space="preserve">Rounded actuarially equivalent copayment value to CY 2025 coinsurance limit per § 422.100(j)(1) (row C rounded per § 422.100(f)(6)(ii))  </t>
  </si>
  <si>
    <t>75% of the Actuarially Equivalent Copayment Differential per § 422.100(f)(8)(ii)(C) (row F multiplied by 0.75)</t>
  </si>
  <si>
    <t>Unrounded copayment value result from actuarially equivalent copayment transition formula for CY 2025 per § 422.100(f)(8)(ii)(C) (row E plus row G)</t>
  </si>
  <si>
    <t>Rounded copayment value result from actuarially equivalent copayment transition formula for CY 2025 per § 422.100(f)(8)(ii)(C) (row H rounded per § 422.100(f)(6)(ii))</t>
  </si>
  <si>
    <t>Final CY 2025 copayment limit per § 422.100(f)(8) (the "lesser of" value comparing row D and row I)</t>
  </si>
  <si>
    <t>Table 1: Contract Year (CY) 2025 Primary Care Physician Medicare FFS Data Projections</t>
  </si>
  <si>
    <t>Table 1: Contract Year (CY) 2025 Chiropractic Care Medicare FFS Data Projections</t>
  </si>
  <si>
    <t>Table 1: Contract Year (CY) 2025 Occupational Therapy Medicare FFS Data Projections</t>
  </si>
  <si>
    <t>Table 1: Contract Year (CY) 2025 Physician Specialist Medicare FFS Data Projections</t>
  </si>
  <si>
    <t>Table 1: Contract Year (CY) 2025 Mental Health Specialty Services Medicare FFS Data Projections</t>
  </si>
  <si>
    <r>
      <t>Unrounded copayment value result from actuarially equivalent copayment transition formula for CY 2025 per § 422.100(f)(8)(ii)(C) (row E plus row I)</t>
    </r>
    <r>
      <rPr>
        <vertAlign val="superscript"/>
        <sz val="11"/>
        <color theme="1"/>
        <rFont val="Calibri"/>
        <family val="2"/>
        <scheme val="minor"/>
      </rPr>
      <t>3</t>
    </r>
  </si>
  <si>
    <t>Table 1: Contract Year (CY) 2025 Psychiatric Services Medicare FFS Data Projections</t>
  </si>
  <si>
    <t>Table 1: Contract Year (CY) 2025 Physical Therapy and Speech-language Pathology Medicare FFS Data Projections</t>
  </si>
  <si>
    <t>Table 1: Contract Year (CY) 2025 Therapeutic Radiological Services Medicare FFS Data Projections</t>
  </si>
  <si>
    <r>
      <t>CY 2025 projected total median Medicare FFS allowed amount (the lesser value comparing row A and B in Table 1, per § 422.100(f)(7))</t>
    </r>
    <r>
      <rPr>
        <vertAlign val="superscript"/>
        <sz val="11"/>
        <rFont val="Calibri"/>
        <family val="2"/>
        <scheme val="minor"/>
      </rPr>
      <t xml:space="preserve">1 </t>
    </r>
  </si>
  <si>
    <r>
      <t>Unrounded actuarially equivalent copayment value to CY 2025 coinsurance limit per § 422.100(j)(1) (row A multiplied by row B)</t>
    </r>
    <r>
      <rPr>
        <vertAlign val="superscript"/>
        <sz val="11"/>
        <color theme="1"/>
        <rFont val="Calibri"/>
        <family val="2"/>
        <scheme val="minor"/>
      </rPr>
      <t>2</t>
    </r>
  </si>
  <si>
    <r>
      <t>Table 1: Contract Year (CY) 2025 DME Diabetic Shoes and Inserts Medicare FFS Data Projections</t>
    </r>
    <r>
      <rPr>
        <vertAlign val="superscript"/>
        <sz val="14"/>
        <rFont val="Calibri"/>
        <family val="2"/>
        <scheme val="minor"/>
      </rPr>
      <t>1</t>
    </r>
  </si>
  <si>
    <t>CY 2025 projected total average Medicare FFS allowed amount*</t>
  </si>
  <si>
    <t>CY 2025 coinsurance limit per § 422.100(f)(6)(i)</t>
  </si>
  <si>
    <r>
      <t>Unrounded actuarially equivalent copayment value to CY 2025 coinsurance limit per § 422.100(f)(6)(i) (row A multiplied by row B)</t>
    </r>
    <r>
      <rPr>
        <vertAlign val="superscript"/>
        <sz val="11"/>
        <color theme="1"/>
        <rFont val="Calibri"/>
        <family val="2"/>
        <scheme val="minor"/>
      </rPr>
      <t>2</t>
    </r>
  </si>
  <si>
    <t xml:space="preserve">Final CY 2025 copayment limit per § 422.100(f)(6)(i) and (j)(1) (row C rounded per § 422.100(f)(6)(ii))  </t>
  </si>
  <si>
    <t>Table 1: Contract Year (CY) 2025 Part B Drugs - Chemotherapy/Radiation Drugs Medicare FFS Data Projections</t>
  </si>
  <si>
    <r>
      <t>CY 2025 projected total median Medicare FFS allowed amount (the lesser value comparing row A and B in Table 1, per § 422.100(f)(7))</t>
    </r>
    <r>
      <rPr>
        <vertAlign val="superscript"/>
        <sz val="11"/>
        <rFont val="Calibri"/>
        <family val="2"/>
        <scheme val="minor"/>
      </rPr>
      <t>1</t>
    </r>
  </si>
  <si>
    <t>Table 1: Contract Year (CY) 2025 Part B Drugs - Other Medicare FFS Data Projections</t>
  </si>
  <si>
    <t>Rounded copayment value result from actuarially equivalent copayment transition formula for CY 2025 per § 422.100(f)(8)(ii)(B) (row H rounded per § 422.100(f)(6)(ii))</t>
  </si>
  <si>
    <t>Table 1: Contract Year (CY) 2025 In-Network Mandatory and Lower Maximum Out-of-Pocket (MOOP) Limits</t>
  </si>
  <si>
    <t>Table 2: Contract Year (CY) 2025 In-Network Intermediate Maximum Out-of-Pocket (MOOP) Limit</t>
  </si>
  <si>
    <t>Table 3: Contract Year (CY) 2025 Combined and Total Catastrophic Maximum Out-of-Pocket (MOOP) Limits</t>
  </si>
  <si>
    <t>Table 4: In-Network Maximum Out-of-Pocket (MOOP) Limits by Contract Year (CY)</t>
  </si>
  <si>
    <t>Table 5: Percent Change of In-Network Maximum Out-of-Pocket (MOOP) Limits from Prior Contract Year (CY)</t>
  </si>
  <si>
    <t>Table 2: Contract Year (CY) 2025 Inpatient Hospital Acute Cost Sharing Limits for the Mandatory Maximum Out-of-Pocket (MOOP) Type</t>
  </si>
  <si>
    <t>Table 3: Contract Year (CY) 2025 Inpatient Hospital Acute Cost Sharing Limits for the Lower Maximum Out-of-Pocket (MOOP) Type</t>
  </si>
  <si>
    <t>Table 4: Contract Year (CY) 2025 Inpatient Hospital Acute Cost Sharing Limits for the Intermediate Maximum Out-of-Pocket (MOOP) Type</t>
  </si>
  <si>
    <t>Table 2: Contract Year (CY) 2025 Inpatient Hospital Psychiatric Cost Sharing Limits for the Mandatory Maximum Out-of-Pocket (MOOP) Type</t>
  </si>
  <si>
    <t>Table 3: Contract Year (CY) 2025 Inpatient Hospital Psychiatric Cost Sharing Limits for the Lower Maximum Out-of-Pocket (MOOP) Type</t>
  </si>
  <si>
    <t>Table 4: Contract Year (CY) 2025 Inpatient Hospital Psychiatric Cost Sharing Limits for the Intermediate Maximum Out-of-Pocket (MOOP) Type</t>
  </si>
  <si>
    <t>Table 1: Contract Year (CY) 2025 Skilled Nursing Facility (SNF) Per Day Cost Sharing Limit for the First 20 Days by Maximum Out-of-Pocket (MOOP) Type</t>
  </si>
  <si>
    <t>Table 2: Contract Year (CY) 2025 Skilled Nursing Facility (SNF) Per Day Cost Sharing Limit for Days 21 through 100 (Applicable to all Maximum Out-of-Pocket (MOOP) Types)</t>
  </si>
  <si>
    <t>Table 1: Contract Year (CY) 2025 Cardiac Rehabilitation Services Copayment Limits by Maximum Out-of-Pocket (MOOP) Type</t>
  </si>
  <si>
    <t>Table 1: Contract Year (CY) 2025 Intensive Cardiac Rehabilitation Services Copayment Limits by Maximum Out-of-Pocket (MOOP) Type</t>
  </si>
  <si>
    <t>Table 1: Contract Year (CY) 2025 Pulmonary Rehabilitation Services Copayment Limits by Maximum Out-of-Pocket (MOOP) Type</t>
  </si>
  <si>
    <t>Table 1: Contract Year (CY) 2025 Supervised Exercise Therapy (SET) for Symptomatic Peripheral Artery Disease (PAD) Copayment Limits by Maximum Out-of-Pocket (MOOP) Type</t>
  </si>
  <si>
    <t>Table 1: Contract Year (CY) 2025 Emergency Services Cost Sharing Limits by Maximum Out-of-Pocket (MOOP) Type</t>
  </si>
  <si>
    <t>Table 2: Contract Year (CY) 2025 Urgently Needed Services Copayment Limits by Maximum Out-of-Pocket (MOOP) Type</t>
  </si>
  <si>
    <t>Table 1: Contract Year (CY) 2025 Partial Hospitalization Copayment Limits by Maximum Out-of-Pocket (MOOP) Type</t>
  </si>
  <si>
    <t>Table 1: Contract Year (CY) 2025 Home Health Copayment Limit for the Lower Maximum Out-of-Pocket (MOOP) Type</t>
  </si>
  <si>
    <t>Table 2: Contract Year (CY) 2025 Primary Care Physician Copayment Limits by Maximum Out-of-Pocket (MOOP) Type</t>
  </si>
  <si>
    <t>Table 2: Contract Year (CY) 2025 Chiropractic Care Copayment Limits by Maximum Out-of-Pocket (MOOP) Type</t>
  </si>
  <si>
    <t>Table 2: Contract Year (CY) 2025 Occupational Therapy Copayment Limits by Maximum Out-of-Pocket (MOOP) Type</t>
  </si>
  <si>
    <t>Table 2: Contract Year (CY) 2025 Physician Specialist Copayment Limits by Maximum Out-of-Pocket (MOOP) Type</t>
  </si>
  <si>
    <t>Table 2: Contract Year (CY) 2025 Mental Health Specialty Services Copayment Limits by Maximum Out-of-Pocket (MOOP) Type</t>
  </si>
  <si>
    <t>Table 2: Contract Year (CY) 2025 Psychiatric Services Copayment Limits by Maximum Out-of-Pocket (MOOP) Type</t>
  </si>
  <si>
    <t>Table 2: Contract Year (CY) 2025 Physical Therapy and Speech-language Pathology Copayment Limits by Maximum Out-of-Pocket (MOOP) Type</t>
  </si>
  <si>
    <t>Table 2: Contract Year (CY) 2025 Therapeutic Radiological Services Copayment Limit for all Maximum Out-of-Pocket (MOOP) Types</t>
  </si>
  <si>
    <t>Table 2: Contract Year (CY) 2025 Durable Medical Equipment (DME) Diabetic Shoes or Inserts Copayment Limit for Lower and Intermediate Maximum Out-of-Pocket (MOOP) Types</t>
  </si>
  <si>
    <t>Table 3: CY 2025 DME Diabetic Shoes or Inserts Copayment Limit for Mandatory Maximum Out-of-Pocket (MOOP) Type</t>
  </si>
  <si>
    <t>Table 1: Contract Year (CY) 2025 Dialysis Services Copayment Limit for All Maximum Out-of-Pocket (MOOP) Types</t>
  </si>
  <si>
    <t>Table 1: Contract Year (CY) 2025 Part B Drugs-Insulin Cost Sharing Limit for All Maximum Out-of-Pocket (MOOP) Types*</t>
  </si>
  <si>
    <t>Table 2: Contract Year (CY) 2025 Part B Drugs - Chemotherapy/Radiation Drugs Services Copayment Limit for All Maximum Out-of-Pocket (MOOP) Types</t>
  </si>
  <si>
    <t>Table 2: Contract Year (CY) 2025 Part B Drugs - Other Services Copayment Limit for All Maximum Out-of-Pocket (MOOP) Types</t>
  </si>
  <si>
    <t xml:space="preserve">*This amount is based on 2022 Medicare FFS data and the Office of the Actuary's (OACT's) costs and utilization projections between 2022 to 2025. The OACT employed generally accepted actuarial principles and practices in calculating this projected amount (per § 422.100(f)(7)). </t>
  </si>
  <si>
    <r>
      <rPr>
        <vertAlign val="superscript"/>
        <sz val="11"/>
        <rFont val="Calibri"/>
        <family val="2"/>
      </rPr>
      <t>1</t>
    </r>
    <r>
      <rPr>
        <sz val="11"/>
        <rFont val="Calibri"/>
        <family val="2"/>
      </rPr>
      <t xml:space="preserve">These amounts are based on 2023 Medicare FFS data and the Office of the Actuary's (OACT's) projections for 2025. The OACT employed generally accepted actuarial principles and practices in calculating this projected amount (per § 422.100(f)(7)). </t>
    </r>
  </si>
  <si>
    <t xml:space="preserve">*This amount is based on 2023 Medicare FFS data and the Office of the Actuary's (OACT's) cost projections for 2025. The OACT employed generally accepted actuarial principles and practices in calculating this projected amount (per § 422.100(f)(7)). </t>
  </si>
  <si>
    <r>
      <rPr>
        <vertAlign val="superscript"/>
        <sz val="11"/>
        <color theme="1"/>
        <rFont val="Calibri"/>
        <family val="2"/>
        <scheme val="minor"/>
      </rPr>
      <t>1</t>
    </r>
    <r>
      <rPr>
        <sz val="11"/>
        <color theme="1"/>
        <rFont val="Calibri"/>
        <family val="2"/>
        <scheme val="minor"/>
      </rPr>
      <t xml:space="preserve"> This amount is based on 2022 Medicare FFS data and the Office of the Actuary's (OACT's) cost and utilization projections between 2022 to 2025. This amount represents the CY 2025 projected total average Medicare FFS allowed amount per urgent care visit, weighted by the number of visits rendered. This amount includes Medicare's payment plus the out-of-pocket cost for the visit code as well as the other services rendered and Part B drug costs. The OACT employed generally accepted actuarial principles and practices in calculating this projected amount (per § 422.100(f)(7)).</t>
    </r>
  </si>
  <si>
    <r>
      <rPr>
        <vertAlign val="superscript"/>
        <sz val="11"/>
        <rFont val="Calibri"/>
        <family val="2"/>
        <scheme val="minor"/>
      </rPr>
      <t>2</t>
    </r>
    <r>
      <rPr>
        <sz val="11"/>
        <rFont val="Calibri"/>
        <family val="2"/>
        <scheme val="minor"/>
      </rPr>
      <t xml:space="preserve"> This amount is based on 2022 Medicare FFS data and the Office of the Actuary's (OACT's) cost and utilization projections between 2022 to 2025. This amount represents the CY 2025 projected total Medicare FFS weighted average cost per home health visit, including services in the Medicare FFS home health bundle (such as, nurse, aid, therapist, certain medical supplies and medications) but no other services (such as other medications, supplies, and DME).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</si>
  <si>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data and the Office of the Actuary's (OACT's) cost and utilization projections between 2022 to 2025. This amount represents the CY 2025 projected total median Medicare FFS allowed amount per session (excluding Part B drug costs).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</si>
  <si>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data and the Office of the Actuary's (OACT's) cost and utilization projections between 2022 to 2025. This amount represents the CY 2025 projected total median Medicare FFS allowed amount per cancer treatment session (including Part B drug IRA effects and costs from betos/HCPCS codes that have a chemotherapy grouper and takes into consideration drug, administration, and place of service costs).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</si>
  <si>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data and the Office of the Actuary's (OACT's) cost and utilization projections between 2022 to 2025. This amount represents the CY 2025 projected total median Medicare FFS allowed amount for Part B drugs (excluding insulin and Part B-chemotherapy/radiation drugs) received on a per visit basis, including professional costs, drug costs, facility costs, the Part A deductible cap for outpatient department cases, and Part B drug IRA effects. The OACT employed generally accepted actuarial principles and practices in calculating this projected amount (per § 422.100(f)(7)). </t>
    </r>
  </si>
  <si>
    <t>$0.00 to $4,150.00</t>
  </si>
  <si>
    <t>Final CY 2025 in-network lower and mandatory MOOP limit dollar ranges per § 422.100(f)(4)(i) through (iii), (v), and (vi) (range between rows F and E)</t>
  </si>
  <si>
    <t>Final CY 2025 in-network intermediate MOOP limit dollar range per § 422.100(f)(4)(i) through (iii), (v), and (vi) (range between rows E and D)</t>
  </si>
  <si>
    <t>$4,151.00 to $6,750.00</t>
  </si>
  <si>
    <t>$6,751.00 to $9,350.00</t>
  </si>
  <si>
    <t>Final CY 2025 combined and total catastrophic MOOP limit dollar ranges for each MOOP type per § 422.101(d)(3)(ii) (range between rows D and C)</t>
  </si>
  <si>
    <t>$0.00 to $6,200.00</t>
  </si>
  <si>
    <t>$4,151.00 to $10,100.00</t>
  </si>
  <si>
    <t>$6,751.00 to $14,000.00</t>
  </si>
  <si>
    <t>$214.00/day</t>
  </si>
  <si>
    <r>
      <rPr>
        <vertAlign val="superscript"/>
        <sz val="11"/>
        <rFont val="Calibri"/>
        <family val="2"/>
        <scheme val="minor"/>
      </rPr>
      <t>1</t>
    </r>
    <r>
      <rPr>
        <sz val="11"/>
        <rFont val="Calibri"/>
        <family val="2"/>
        <scheme val="minor"/>
      </rPr>
      <t xml:space="preserve"> This amount is based on 2022 Medicare FFS data and the Office of the Actuary's (OACT's) cost and utilization projections of partial hospitalization (which requires 20 or more hours of care each week beginning on January 1, 2024) between 2022 to 2025. This amount represents the CY 2025 projected total average Medicare FFS allowed amount per day of partial hospitalization (including physician fees and facility fees/APC codes 5863 and 5853), weighted by the type of setting (such as, hospital outpatient departments and community mental health centers).  The OACT employed generally accepted actuarial principles and practices in calculating this projected amount (per § 422.100(f)(7)).</t>
    </r>
  </si>
  <si>
    <r>
      <t>Final CY 2025 copayment limit per § 422.100(f)(8) (the "lesser of" value comparing row D and row K)</t>
    </r>
    <r>
      <rPr>
        <vertAlign val="superscript"/>
        <sz val="11"/>
        <color theme="1"/>
        <rFont val="Calibri"/>
        <family val="2"/>
        <scheme val="minor"/>
      </rPr>
      <t>3</t>
    </r>
  </si>
  <si>
    <r>
      <rPr>
        <vertAlign val="superscript"/>
        <sz val="11"/>
        <color theme="1"/>
        <rFont val="Calibri"/>
        <family val="2"/>
        <scheme val="minor"/>
      </rPr>
      <t>3</t>
    </r>
    <r>
      <rPr>
        <sz val="11"/>
        <color theme="1"/>
        <rFont val="Calibri"/>
        <family val="2"/>
        <scheme val="minor"/>
      </rPr>
      <t xml:space="preserve"> The final CY 2025 cost sharing limits for partial hospitalization also apply to the intensive outpatient services program that provides the same services as partial hospitalization (with only 9 hours of care required each week).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</si>
  <si>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primary care visit (excluding drug costs), weighted by utilization of the following provider specialty types: family practice, general practice, internal medicine, and geriatric medicine.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</si>
  <si>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visit (excluding drug costs) for the provider specialty type: chiropractor.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</si>
  <si>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visit (excluding drug costs) for the provider specialty type: occupational therapist in private practice.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</si>
  <si>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physician specialist visit (excluding drug costs), weighted by utilization of the following provider specialty types: cardiology, gastroenterology, nephrology, and ENT (otolaryngology).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</si>
  <si>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mental health specialty visit (excluding drug costs), weighted by utilization of the following provider specialty types: clinical psychologist, licensed clinical social worker, and psychiatry.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</si>
  <si>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visit (excluding drug costs) for the provider specialty type: psychiatry. The OACT employed generally accepted actuarial principles and practices in calculating this projected amount (per § 422.100(f)(7)). </t>
    </r>
  </si>
  <si>
    <r>
      <rPr>
        <vertAlign val="superscript"/>
        <sz val="11"/>
        <rFont val="Calibri"/>
        <family val="2"/>
        <scheme val="minor"/>
      </rPr>
      <t>1</t>
    </r>
    <r>
      <rPr>
        <sz val="11"/>
        <rFont val="Calibri"/>
        <family val="2"/>
        <scheme val="minor"/>
      </rPr>
      <t xml:space="preserve"> This amount is based on 2022 Medicare FFS cost and utilization data of provider specialties in an office setting and the Office of the Actuary's (OACT's) projections of cost changes between 2022 to 2025. This amount represents the CY 2025 projected total average Medicare FFS allowed amount per physical therapy or speech-therapy visit (excluding drug costs), weighted by utilization of the following provider specialty types: physical medicine and rehabilitation and speech-language pathologists. The OACT employed generally accepted actuarial principles and practices in calculating this projected amount (per § 422.100(f)(7)). </t>
    </r>
  </si>
  <si>
    <t>Medicare FFS Allowed Amount*</t>
  </si>
  <si>
    <t>Medicare FFS Allowed Service Unit*</t>
  </si>
  <si>
    <t>*These amounts reflect the first three quarters of 2023 Medicare FFS published prices and utilization.</t>
  </si>
  <si>
    <t xml:space="preserve">* This amount is based on the first three quarters of 2023 Medicare FFS published prices and utilization and then to project to CY 2025, the Office of the Actuary (OACT) applied the increase between 2023 to 2025 to that data. This amount represents the CY 2025 projected total average Medicare FFS allowed amount for diabetic shoes or inserts (without Part B deductible adjustment), weighted by utilization of the DME shoes, inserts, and shoe modifications HCPCS codes in Table 1. The OACT employed generally accepted actuarial principles and practices in calculating this projected amount (per § 422.100(f)(7)). </t>
  </si>
  <si>
    <r>
      <rPr>
        <vertAlign val="superscript"/>
        <sz val="11"/>
        <rFont val="Calibri"/>
        <family val="2"/>
        <scheme val="minor"/>
      </rPr>
      <t>1</t>
    </r>
    <r>
      <rPr>
        <sz val="11"/>
        <rFont val="Calibri"/>
        <family val="2"/>
        <scheme val="minor"/>
      </rPr>
      <t xml:space="preserve"> This amount is based on the first three quarters of 2023 Medicare FFS published prices and utilization and then to project to CY 2025, the Office of the Actuary (OACT) applied the increase between 2023 to 2025 to that data. This amount represents the CY 2025 projected total average Medicare FFS allowed amount for diabetic shoes or inserts (without a Part B deductible adjustment), weighted by utilization of the DME shoes, inserts, and shoe modifications HCPCS codes in Table 1. The OACT employed generally accepted actuarial principles and practices in calculating this projected amount (as finalized in § 422.100(f)(7)). </t>
    </r>
  </si>
  <si>
    <t>Projected Weighted Average Price (Column G x 1.08)</t>
  </si>
  <si>
    <r>
      <rPr>
        <vertAlign val="superscript"/>
        <sz val="11"/>
        <color theme="1"/>
        <rFont val="Calibri"/>
        <family val="2"/>
        <scheme val="minor"/>
      </rPr>
      <t>1</t>
    </r>
    <r>
      <rPr>
        <sz val="11"/>
        <color theme="1"/>
        <rFont val="Calibri"/>
        <family val="2"/>
        <scheme val="minor"/>
      </rPr>
      <t xml:space="preserve"> This amount is based on 2022 Medicare FFS data and the Office of the Actuary's (OACT's) cost and utilization projections between 2022 to 2025. This amount represents the CY 2025 projected total average Medicare FFS allowed amount per cardiac rehabilitation session (based on HCPCS codes 93797 and 93798), weighted by the type of setting (such as, hospital outpatient departments and provider offices).  The OACT employed generally accepted actuarial principles and practices in calculating this projected amount (per § 422.100(f)(7)). In comparison to the CY 2024 projected total average Medicare FFS allowed amount for cardiac rehabilitation services, the OACT excluded virtual rehab sessions as those services are not covered after the COVID-19 emergency period. In addition, the OACT expects higher paying sessions of cardiac rehabilitation services in outpatient departments will be utilized more often than prior CY 2024 projections. As a result, the contract year 2025 Medicare FFS allowed amount for cardiac rehabilitation services is significantly higher than the CY 2024 Medicare FFS allowed amount. </t>
    </r>
  </si>
  <si>
    <r>
      <rPr>
        <vertAlign val="superscript"/>
        <sz val="11"/>
        <color theme="1"/>
        <rFont val="Calibri"/>
        <family val="2"/>
        <scheme val="minor"/>
      </rPr>
      <t>1</t>
    </r>
    <r>
      <rPr>
        <sz val="11"/>
        <color theme="1"/>
        <rFont val="Calibri"/>
        <family val="2"/>
        <scheme val="minor"/>
      </rPr>
      <t xml:space="preserve"> This amount is based on 2022 Medicare FFS data and the Office of the Actuary's (OACT's) cost and utilization projections between 2022 to 2025. This amount represents the CY 2025 projected total average Medicare FFS allowed amount per intensive cardiac rehabilitation session (based on HCPCS codes G0422 and G0423 and APC code 5771), weighted by the type of setting (such as, hospital outpatient departments and provider offices).  In comparison to the CY 2024 projected total average Medicare FFS allowed amount for intensive cardiac rehabilitation services, the OACT excluded virtual rehab sessions as those services are not covered after the COVID-19 emergency period. The OACT employed generally accepted actuarial principles and practices in calculating this projected amount (per § 422.100(f)(7)).</t>
    </r>
  </si>
  <si>
    <r>
      <rPr>
        <vertAlign val="superscript"/>
        <sz val="11"/>
        <rFont val="Calibri"/>
        <family val="2"/>
        <scheme val="minor"/>
      </rPr>
      <t>1</t>
    </r>
    <r>
      <rPr>
        <sz val="11"/>
        <rFont val="Calibri"/>
        <family val="2"/>
        <scheme val="minor"/>
      </rPr>
      <t xml:space="preserve"> This amount is based on 2022 Medicare FFS data and the Office of the Actuary's (OACT's) cost and utilization projections between 2022 to 2025. This amount represents the CY 2025 projected total average Medicare FFS allowed amount per pulmonary rehabilitation session (based on CPT codes 94625 and 94626 and APC code 5733), weighted by the type of setting (such as, hospital outpatient departments and provider offices).  The OACT employed generally accepted actuarial principles and practices in calculating this projected amount (per § 422.100(f)(7)).  In comparison to the CY 2024 projected total average Medicare FFS allowed amount for pulmonary rehabilitation services, the OACT adjusted the CY 2025 projection to reflect CMS's significantly increased payment for pulmonary rehabilitation services. As a result, the contract year 2025 Medicare FFS allowed amount for pulmonary rehabilitation services is significantly higher than the CY 2024 Medicare FFS allowed amount. </t>
    </r>
  </si>
  <si>
    <r>
      <rPr>
        <vertAlign val="superscript"/>
        <sz val="11"/>
        <rFont val="Calibri"/>
        <family val="2"/>
        <scheme val="minor"/>
      </rPr>
      <t>1</t>
    </r>
    <r>
      <rPr>
        <sz val="11"/>
        <rFont val="Calibri"/>
        <family val="2"/>
        <scheme val="minor"/>
      </rPr>
      <t xml:space="preserve"> This amount from the Office of the Actuary (OACT) is based on 2023 Medicare FFS data and the increase between 2022 to 2023 to project to CY 2025. This amount represents the CY 2025 projected total average Medicare FFS allowed amount per SET for PAD session (based on CPT code 93668 and APC code 5733), weighted by the type of setting (such as, hospital outpatient departments and provider offices).  The OACT employed generally accepted actuarial principles and practices in calculating this projected amount (per § 422.100(f)(7)).</t>
    </r>
  </si>
  <si>
    <r>
      <t>Projected Part B Professional Acute Day 1 Cost Sharing</t>
    </r>
    <r>
      <rPr>
        <vertAlign val="superscript"/>
        <sz val="11"/>
        <color theme="1"/>
        <rFont val="Calibri"/>
        <family val="2"/>
      </rPr>
      <t>1,2</t>
    </r>
  </si>
  <si>
    <r>
      <t>Projected Part B Professional Acute Day 2 Cost Sharing</t>
    </r>
    <r>
      <rPr>
        <vertAlign val="superscript"/>
        <sz val="11"/>
        <color theme="1"/>
        <rFont val="Calibri"/>
        <family val="2"/>
      </rPr>
      <t>1,2</t>
    </r>
  </si>
  <si>
    <r>
      <t>Projected Part B Professional Acute Day 3 Cost Sharing</t>
    </r>
    <r>
      <rPr>
        <vertAlign val="superscript"/>
        <sz val="11"/>
        <color theme="1"/>
        <rFont val="Calibri"/>
        <family val="2"/>
      </rPr>
      <t>1,2</t>
    </r>
  </si>
  <si>
    <r>
      <t>Projected Part B Professional Acute Day 4 Cost Sharing</t>
    </r>
    <r>
      <rPr>
        <vertAlign val="superscript"/>
        <sz val="11"/>
        <color theme="1"/>
        <rFont val="Calibri"/>
        <family val="2"/>
      </rPr>
      <t>1,2</t>
    </r>
  </si>
  <si>
    <r>
      <t>Projected Part B Professional Acute Day 5 Cost Sharing</t>
    </r>
    <r>
      <rPr>
        <vertAlign val="superscript"/>
        <sz val="11"/>
        <color theme="1"/>
        <rFont val="Calibri"/>
        <family val="2"/>
      </rPr>
      <t>1,2</t>
    </r>
  </si>
  <si>
    <r>
      <t>Projected Part B Professional Acute Day 6+ Cost Sharing</t>
    </r>
    <r>
      <rPr>
        <vertAlign val="superscript"/>
        <sz val="11"/>
        <color theme="1"/>
        <rFont val="Calibri"/>
        <family val="2"/>
      </rPr>
      <t>1,2</t>
    </r>
  </si>
  <si>
    <t>Projected Part B professional acute day cost sharing (sum of values from rows B through G in Table 1 based on the number of days in the length of stay scenario established at § 422.100(f)(6)(iv)(B))</t>
  </si>
  <si>
    <r>
      <t>Projected Part B Professional Psychiatric Day 1 Cost Sharing</t>
    </r>
    <r>
      <rPr>
        <vertAlign val="superscript"/>
        <sz val="11"/>
        <color theme="1"/>
        <rFont val="Calibri"/>
        <family val="2"/>
      </rPr>
      <t>1,2</t>
    </r>
  </si>
  <si>
    <r>
      <t>Projected Part B Professional Psychiatric Day 2 Cost Sharing</t>
    </r>
    <r>
      <rPr>
        <vertAlign val="superscript"/>
        <sz val="11"/>
        <color theme="1"/>
        <rFont val="Calibri"/>
        <family val="2"/>
      </rPr>
      <t>1,2</t>
    </r>
  </si>
  <si>
    <r>
      <t>Projected Part B Professional Psychiatric Day 3 Cost Sharing</t>
    </r>
    <r>
      <rPr>
        <vertAlign val="superscript"/>
        <sz val="11"/>
        <color theme="1"/>
        <rFont val="Calibri"/>
        <family val="2"/>
      </rPr>
      <t>1,2</t>
    </r>
  </si>
  <si>
    <r>
      <t>Projected Part B Professional Psychiatric Day 4 Cost Sharing</t>
    </r>
    <r>
      <rPr>
        <vertAlign val="superscript"/>
        <sz val="11"/>
        <color theme="1"/>
        <rFont val="Calibri"/>
        <family val="2"/>
      </rPr>
      <t>1,2</t>
    </r>
  </si>
  <si>
    <r>
      <t>Projected Part B Professional Psychiatric Day 5 Cost Sharing</t>
    </r>
    <r>
      <rPr>
        <vertAlign val="superscript"/>
        <sz val="11"/>
        <color theme="1"/>
        <rFont val="Calibri"/>
        <family val="2"/>
      </rPr>
      <t>1,2</t>
    </r>
  </si>
  <si>
    <r>
      <t>Projected Part B Professional Psychiatric Day 6+ Cost Sharing</t>
    </r>
    <r>
      <rPr>
        <vertAlign val="superscript"/>
        <sz val="11"/>
        <color theme="1"/>
        <rFont val="Calibri"/>
        <family val="2"/>
      </rPr>
      <t>1,2</t>
    </r>
  </si>
  <si>
    <t>Projected Part B professional psychiatric day cost sharing (sum of values from rows B through G in Table 1 based on the number of days in the length of stay scenario established at § 422.100(f)(6)(iv)(B))</t>
  </si>
  <si>
    <r>
      <rPr>
        <vertAlign val="superscript"/>
        <sz val="11"/>
        <rFont val="Calibri"/>
        <family val="2"/>
        <scheme val="minor"/>
      </rPr>
      <t>1</t>
    </r>
    <r>
      <rPr>
        <sz val="11"/>
        <rFont val="Calibri"/>
        <family val="2"/>
        <scheme val="minor"/>
      </rPr>
      <t xml:space="preserve"> This amount is based on 2024 Medicare FFS published prices and 2023 Medicare FFS utilization and then to project to CY 2025, the Office of the Actuary (OACT) applied the increase between 2023 to 2025 to that data. This amount represents the CY 2025 projected total average Medicare FFS allowed amount per dialysis session (including facility fees, approximated physician fees, and Part B drug costs), weighted by all types of dialysis and settings (such as, hospital outpatient departments, provider offices, and the beneficiary's home). The Part B drug costs include coverage of oral-only ESRD drugs that begins 1/1/2025. The OACT employed generally accepted actuarial principles and practices in calculating this projected amount (per § 422.100(f)(7)).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</si>
</sst>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quot;$&quot;#,##0.00"/>
  </numFmts>
  <fonts count="26" x14ac:knownFonts="1">
    <font>
      <sz val="11"/>
      <color theme="1"/>
      <name val="Calibri"/>
      <family val="2"/>
      <scheme val="minor"/>
    </font>
    <font>
      <sz val="11"/>
      <color theme="1"/>
      <name val="Calibri"/>
      <family val="2"/>
      <scheme val="minor"/>
    </font>
    <font>
      <sz val="11"/>
      <color rgb="FF000000"/>
      <name val="Calibri"/>
      <family val="2"/>
      <scheme val="minor"/>
    </font>
    <font>
      <sz val="10"/>
      <color rgb="FF000000"/>
      <name val="Arial"/>
      <family val="2"/>
    </font>
    <font>
      <sz val="11"/>
      <name val="Calibri"/>
      <family val="2"/>
      <scheme val="minor"/>
    </font>
    <font>
      <sz val="11"/>
      <color rgb="FFFF0000"/>
      <name val="Calibri"/>
      <family val="2"/>
      <scheme val="minor"/>
    </font>
    <font>
      <sz val="11"/>
      <color theme="1"/>
      <name val="Calibri"/>
      <family val="2"/>
    </font>
    <font>
      <sz val="11"/>
      <color rgb="FF000000"/>
      <name val="Calibri"/>
      <family val="2"/>
    </font>
    <font>
      <sz val="11"/>
      <name val="Calibri"/>
      <family val="2"/>
    </font>
    <font>
      <sz val="10"/>
      <color rgb="FF000000"/>
      <name val="Arial"/>
      <family val="2"/>
    </font>
    <font>
      <sz val="14"/>
      <color rgb="FF000000"/>
      <name val="Calibri"/>
      <family val="2"/>
    </font>
    <font>
      <sz val="14"/>
      <color theme="1"/>
      <name val="Times New Roman"/>
      <family val="1"/>
    </font>
    <font>
      <i/>
      <sz val="11"/>
      <color theme="1"/>
      <name val="Calibri"/>
      <family val="2"/>
    </font>
    <font>
      <i/>
      <sz val="11"/>
      <color theme="1"/>
      <name val="Calibri"/>
      <family val="2"/>
      <scheme val="minor"/>
    </font>
    <font>
      <sz val="14"/>
      <color theme="1"/>
      <name val="Calibri"/>
      <family val="2"/>
      <scheme val="minor"/>
    </font>
    <font>
      <vertAlign val="superscript"/>
      <sz val="11"/>
      <color theme="1"/>
      <name val="Calibri"/>
      <family val="2"/>
      <scheme val="minor"/>
    </font>
    <font>
      <vertAlign val="superscript"/>
      <sz val="14"/>
      <color theme="1"/>
      <name val="Calibri"/>
      <family val="2"/>
      <scheme val="minor"/>
    </font>
    <font>
      <sz val="14"/>
      <name val="Calibri"/>
      <family val="2"/>
      <scheme val="minor"/>
    </font>
    <font>
      <i/>
      <sz val="12"/>
      <color theme="1"/>
      <name val="Calibri"/>
      <family val="2"/>
      <scheme val="minor"/>
    </font>
    <font>
      <vertAlign val="superscript"/>
      <sz val="11"/>
      <name val="Calibri"/>
      <family val="2"/>
      <scheme val="minor"/>
    </font>
    <font>
      <sz val="14"/>
      <name val="Calibri"/>
      <family val="2"/>
    </font>
    <font>
      <vertAlign val="superscript"/>
      <sz val="14"/>
      <name val="Calibri"/>
      <family val="2"/>
      <scheme val="minor"/>
    </font>
    <font>
      <vertAlign val="superscript"/>
      <sz val="11"/>
      <color theme="1"/>
      <name val="Calibri"/>
      <family val="2"/>
    </font>
    <font>
      <vertAlign val="superscript"/>
      <sz val="11"/>
      <name val="Calibri"/>
      <family val="2"/>
    </font>
    <font>
      <b/>
      <sz val="11"/>
      <color rgb="FFFF0000"/>
      <name val="Calibri"/>
      <family val="2"/>
      <scheme val="minor"/>
    </font>
    <font>
      <sz val="14"/>
      <color rgb="FF000000"/>
      <name val="Calibri"/>
      <family val="2"/>
      <scheme val="minor"/>
    </font>
  </fonts>
  <fills count="7">
    <fill>
      <patternFill patternType="none"/>
    </fill>
    <fill>
      <patternFill patternType="gray125"/>
    </fill>
    <fill>
      <patternFill patternType="solid">
        <fgColor rgb="FFB9CDE5"/>
        <bgColor indexed="64"/>
      </patternFill>
    </fill>
    <fill>
      <patternFill patternType="solid">
        <fgColor theme="0"/>
        <bgColor indexed="64"/>
      </patternFill>
    </fill>
    <fill>
      <patternFill patternType="solid">
        <fgColor rgb="FF92D050"/>
        <bgColor indexed="64"/>
      </patternFill>
    </fill>
    <fill>
      <patternFill patternType="solid">
        <fgColor rgb="FFB4C6E7"/>
        <bgColor indexed="64"/>
      </patternFill>
    </fill>
    <fill>
      <patternFill patternType="solid">
        <fgColor theme="8"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1">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9" fillId="0" borderId="0"/>
    <xf numFmtId="9" fontId="9" fillId="0" borderId="0" applyFont="0" applyFill="0" applyBorder="0" applyAlignment="0" applyProtection="0"/>
    <xf numFmtId="0" fontId="3" fillId="0" borderId="0"/>
  </cellStyleXfs>
  <cellXfs count="207">
    <xf numFmtId="0" fontId="0" fillId="0" borderId="0" xfId="0"/>
    <xf numFmtId="0" fontId="0" fillId="0" borderId="0" xfId="0" applyAlignment="1">
      <alignment wrapText="1"/>
    </xf>
    <xf numFmtId="8" fontId="0" fillId="0" borderId="0" xfId="0" applyNumberFormat="1"/>
    <xf numFmtId="6" fontId="0" fillId="0" borderId="0" xfId="0" applyNumberFormat="1"/>
    <xf numFmtId="0" fontId="5" fillId="0" borderId="0" xfId="0" applyFont="1"/>
    <xf numFmtId="0" fontId="0" fillId="0" borderId="0" xfId="0" applyAlignment="1">
      <alignment horizontal="left" vertical="top" wrapText="1"/>
    </xf>
    <xf numFmtId="0" fontId="6" fillId="0" borderId="0" xfId="0" applyFont="1" applyAlignment="1">
      <alignment wrapText="1"/>
    </xf>
    <xf numFmtId="165" fontId="7" fillId="0" borderId="0" xfId="1" applyNumberFormat="1" applyFont="1" applyBorder="1" applyAlignment="1">
      <alignment wrapText="1"/>
    </xf>
    <xf numFmtId="165" fontId="7" fillId="0" borderId="0" xfId="1" applyNumberFormat="1" applyFont="1" applyBorder="1" applyAlignment="1">
      <alignment horizontal="center" wrapText="1"/>
    </xf>
    <xf numFmtId="165" fontId="7" fillId="0" borderId="6" xfId="1" applyNumberFormat="1" applyFont="1" applyBorder="1" applyAlignment="1">
      <alignment wrapText="1"/>
    </xf>
    <xf numFmtId="0" fontId="0" fillId="6" borderId="1" xfId="0" applyFill="1" applyBorder="1" applyAlignment="1">
      <alignment horizontal="center" vertical="top" wrapText="1"/>
    </xf>
    <xf numFmtId="0" fontId="0" fillId="4" borderId="1" xfId="0" applyFill="1" applyBorder="1" applyAlignment="1">
      <alignment horizontal="left" vertical="top" wrapText="1"/>
    </xf>
    <xf numFmtId="0" fontId="0" fillId="0" borderId="13" xfId="0" applyBorder="1" applyAlignment="1">
      <alignment horizontal="left" vertical="top" wrapText="1"/>
    </xf>
    <xf numFmtId="0" fontId="0" fillId="0" borderId="13" xfId="0" applyBorder="1" applyAlignment="1">
      <alignment horizontal="center" vertical="top" wrapText="1"/>
    </xf>
    <xf numFmtId="0" fontId="0" fillId="0" borderId="10" xfId="0" applyBorder="1" applyAlignment="1">
      <alignment horizontal="center" vertical="top" wrapText="1"/>
    </xf>
    <xf numFmtId="0" fontId="0" fillId="0" borderId="10" xfId="0" applyBorder="1" applyAlignment="1">
      <alignment horizontal="left"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4" xfId="0" applyBorder="1" applyAlignment="1">
      <alignment horizontal="left" vertical="top" wrapText="1"/>
    </xf>
    <xf numFmtId="0" fontId="4" fillId="0" borderId="10" xfId="0" applyFont="1" applyBorder="1" applyAlignment="1">
      <alignment horizontal="left" vertical="top" wrapText="1"/>
    </xf>
    <xf numFmtId="0" fontId="4" fillId="0" borderId="13" xfId="0" applyFont="1" applyBorder="1" applyAlignment="1">
      <alignment horizontal="left" vertical="top" wrapText="1"/>
    </xf>
    <xf numFmtId="165" fontId="7" fillId="0" borderId="12" xfId="1" applyNumberFormat="1" applyFont="1" applyBorder="1" applyAlignment="1">
      <alignment wrapText="1"/>
    </xf>
    <xf numFmtId="165" fontId="7" fillId="0" borderId="12" xfId="1" applyNumberFormat="1" applyFont="1" applyFill="1" applyBorder="1" applyAlignment="1">
      <alignment wrapText="1"/>
    </xf>
    <xf numFmtId="165" fontId="7" fillId="0" borderId="7" xfId="1" applyNumberFormat="1" applyFont="1" applyBorder="1" applyAlignment="1">
      <alignment wrapText="1"/>
    </xf>
    <xf numFmtId="165" fontId="7" fillId="0" borderId="8" xfId="1" applyNumberFormat="1" applyFont="1" applyBorder="1" applyAlignment="1">
      <alignment wrapText="1"/>
    </xf>
    <xf numFmtId="165" fontId="7" fillId="0" borderId="2" xfId="1" applyNumberFormat="1" applyFont="1" applyBorder="1" applyAlignment="1">
      <alignment wrapText="1"/>
    </xf>
    <xf numFmtId="165" fontId="7" fillId="0" borderId="11" xfId="1" applyNumberFormat="1" applyFont="1" applyBorder="1" applyAlignment="1">
      <alignment wrapText="1"/>
    </xf>
    <xf numFmtId="165" fontId="7" fillId="0" borderId="9" xfId="1" applyNumberFormat="1" applyFont="1" applyFill="1" applyBorder="1" applyAlignment="1">
      <alignment wrapText="1"/>
    </xf>
    <xf numFmtId="10" fontId="0" fillId="0" borderId="0" xfId="3" applyNumberFormat="1" applyFont="1" applyAlignment="1">
      <alignment horizontal="left" vertical="top" wrapText="1"/>
    </xf>
    <xf numFmtId="0" fontId="0" fillId="0" borderId="0" xfId="0" applyAlignment="1">
      <alignment horizontal="left" wrapText="1"/>
    </xf>
    <xf numFmtId="9" fontId="0" fillId="0" borderId="13" xfId="0" applyNumberFormat="1" applyBorder="1"/>
    <xf numFmtId="8" fontId="0" fillId="0" borderId="13" xfId="0" applyNumberFormat="1" applyBorder="1"/>
    <xf numFmtId="0" fontId="0" fillId="0" borderId="14" xfId="0" applyBorder="1" applyAlignment="1">
      <alignment horizontal="center"/>
    </xf>
    <xf numFmtId="8" fontId="0" fillId="0" borderId="14" xfId="0" applyNumberFormat="1" applyBorder="1"/>
    <xf numFmtId="0" fontId="14" fillId="2" borderId="14" xfId="0" applyFont="1" applyFill="1" applyBorder="1" applyAlignment="1">
      <alignment vertical="top" wrapText="1"/>
    </xf>
    <xf numFmtId="0" fontId="17" fillId="2" borderId="1" xfId="0" applyFont="1" applyFill="1" applyBorder="1" applyAlignment="1">
      <alignment vertical="top" wrapText="1"/>
    </xf>
    <xf numFmtId="0" fontId="14" fillId="2" borderId="1" xfId="0" applyFont="1" applyFill="1" applyBorder="1" applyAlignment="1">
      <alignment vertical="top" wrapText="1"/>
    </xf>
    <xf numFmtId="165" fontId="2" fillId="0" borderId="1" xfId="0" applyNumberFormat="1" applyFont="1" applyBorder="1" applyAlignment="1">
      <alignment horizontal="center" wrapText="1"/>
    </xf>
    <xf numFmtId="10" fontId="2" fillId="0" borderId="1" xfId="3" applyNumberFormat="1" applyFont="1" applyBorder="1" applyAlignment="1">
      <alignment horizontal="center" wrapText="1"/>
    </xf>
    <xf numFmtId="165" fontId="4" fillId="0" borderId="1" xfId="0" applyNumberFormat="1" applyFont="1" applyBorder="1" applyAlignment="1">
      <alignment horizontal="center" wrapText="1"/>
    </xf>
    <xf numFmtId="4" fontId="4" fillId="0" borderId="0" xfId="0" applyNumberFormat="1" applyFont="1" applyAlignment="1">
      <alignment horizontal="center" wrapText="1"/>
    </xf>
    <xf numFmtId="165" fontId="0" fillId="0" borderId="0" xfId="0" applyNumberFormat="1"/>
    <xf numFmtId="0" fontId="0" fillId="4" borderId="1" xfId="0" applyFill="1" applyBorder="1" applyAlignment="1">
      <alignment horizontal="center" vertical="top" wrapText="1"/>
    </xf>
    <xf numFmtId="8" fontId="7" fillId="4" borderId="1" xfId="1" applyNumberFormat="1" applyFont="1" applyFill="1" applyBorder="1" applyAlignment="1">
      <alignment wrapText="1"/>
    </xf>
    <xf numFmtId="165" fontId="7" fillId="4" borderId="1" xfId="1" applyNumberFormat="1" applyFont="1" applyFill="1" applyBorder="1" applyAlignment="1">
      <alignment wrapText="1"/>
    </xf>
    <xf numFmtId="8" fontId="7" fillId="4" borderId="10" xfId="1" applyNumberFormat="1" applyFont="1" applyFill="1" applyBorder="1" applyAlignment="1">
      <alignment wrapText="1"/>
    </xf>
    <xf numFmtId="0" fontId="0" fillId="4" borderId="10" xfId="0" applyFill="1" applyBorder="1" applyAlignment="1">
      <alignment horizontal="center" vertical="top" wrapText="1"/>
    </xf>
    <xf numFmtId="0" fontId="0" fillId="4" borderId="10" xfId="0" applyFill="1" applyBorder="1" applyAlignment="1">
      <alignment horizontal="left" vertical="top" wrapText="1"/>
    </xf>
    <xf numFmtId="8" fontId="0" fillId="4" borderId="1" xfId="0" applyNumberFormat="1" applyFill="1" applyBorder="1"/>
    <xf numFmtId="165" fontId="7" fillId="0" borderId="12" xfId="1" applyNumberFormat="1" applyFont="1" applyFill="1" applyBorder="1" applyAlignment="1">
      <alignment horizontal="center" wrapText="1"/>
    </xf>
    <xf numFmtId="0" fontId="4" fillId="4" borderId="1" xfId="0" applyFont="1" applyFill="1" applyBorder="1" applyAlignment="1">
      <alignment horizontal="left" vertical="top" wrapText="1"/>
    </xf>
    <xf numFmtId="4" fontId="4" fillId="0" borderId="6" xfId="0" applyNumberFormat="1" applyFont="1" applyBorder="1" applyAlignment="1">
      <alignment horizontal="center" wrapText="1"/>
    </xf>
    <xf numFmtId="165" fontId="7" fillId="0" borderId="12" xfId="1" applyNumberFormat="1" applyFont="1" applyBorder="1" applyAlignment="1">
      <alignment horizontal="center" wrapText="1"/>
    </xf>
    <xf numFmtId="8" fontId="0" fillId="0" borderId="14" xfId="0" applyNumberFormat="1" applyBorder="1" applyAlignment="1">
      <alignment horizontal="right" wrapText="1"/>
    </xf>
    <xf numFmtId="8" fontId="0" fillId="0" borderId="13" xfId="0" applyNumberFormat="1" applyBorder="1" applyAlignment="1">
      <alignment horizontal="right" wrapText="1"/>
    </xf>
    <xf numFmtId="8" fontId="4" fillId="0" borderId="13" xfId="0" applyNumberFormat="1" applyFont="1" applyBorder="1" applyAlignment="1">
      <alignment horizontal="right" wrapText="1"/>
    </xf>
    <xf numFmtId="8" fontId="0" fillId="0" borderId="10" xfId="0" applyNumberFormat="1" applyBorder="1" applyAlignment="1">
      <alignment horizontal="right" wrapText="1"/>
    </xf>
    <xf numFmtId="0" fontId="0" fillId="4" borderId="1" xfId="0" applyFill="1" applyBorder="1" applyAlignment="1">
      <alignment horizontal="right" wrapText="1"/>
    </xf>
    <xf numFmtId="8" fontId="0" fillId="4" borderId="1" xfId="0" applyNumberFormat="1" applyFill="1" applyBorder="1" applyAlignment="1">
      <alignment horizontal="right" wrapText="1"/>
    </xf>
    <xf numFmtId="10" fontId="0" fillId="0" borderId="13" xfId="3" applyNumberFormat="1" applyFont="1" applyBorder="1" applyAlignment="1">
      <alignment horizontal="right" wrapText="1"/>
    </xf>
    <xf numFmtId="10" fontId="0" fillId="0" borderId="13" xfId="3" applyNumberFormat="1" applyFont="1" applyBorder="1" applyAlignment="1">
      <alignment horizontal="center" wrapText="1"/>
    </xf>
    <xf numFmtId="10" fontId="0" fillId="0" borderId="10" xfId="3" applyNumberFormat="1" applyFont="1" applyBorder="1" applyAlignment="1">
      <alignment horizontal="right" wrapText="1"/>
    </xf>
    <xf numFmtId="8" fontId="0" fillId="0" borderId="13" xfId="3" applyNumberFormat="1" applyFont="1" applyBorder="1" applyAlignment="1">
      <alignment horizontal="right" wrapText="1"/>
    </xf>
    <xf numFmtId="8" fontId="0" fillId="0" borderId="13" xfId="0" applyNumberFormat="1" applyBorder="1" applyAlignment="1">
      <alignment horizontal="center" wrapText="1"/>
    </xf>
    <xf numFmtId="8" fontId="0" fillId="0" borderId="10" xfId="3" applyNumberFormat="1" applyFont="1" applyBorder="1" applyAlignment="1">
      <alignment horizontal="right" wrapText="1"/>
    </xf>
    <xf numFmtId="0" fontId="6" fillId="2" borderId="13"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2" xfId="0" applyFont="1" applyBorder="1" applyAlignment="1">
      <alignment vertical="top" wrapText="1"/>
    </xf>
    <xf numFmtId="0" fontId="6" fillId="0" borderId="13" xfId="0" applyFont="1" applyBorder="1" applyAlignment="1">
      <alignment horizontal="center" vertical="top" wrapText="1"/>
    </xf>
    <xf numFmtId="0" fontId="6" fillId="0" borderId="10" xfId="0" applyFont="1" applyBorder="1" applyAlignment="1">
      <alignment horizontal="center" vertical="top" wrapText="1"/>
    </xf>
    <xf numFmtId="0" fontId="6" fillId="0" borderId="9" xfId="0" applyFont="1" applyBorder="1" applyAlignment="1">
      <alignment vertical="top" wrapText="1"/>
    </xf>
    <xf numFmtId="0" fontId="6" fillId="2" borderId="12" xfId="0" applyFont="1" applyFill="1" applyBorder="1" applyAlignment="1">
      <alignment horizontal="center" vertical="top" wrapText="1"/>
    </xf>
    <xf numFmtId="0" fontId="6" fillId="0" borderId="14" xfId="0" applyFont="1" applyBorder="1" applyAlignment="1">
      <alignment vertical="top" wrapText="1"/>
    </xf>
    <xf numFmtId="0" fontId="8" fillId="0" borderId="13" xfId="0" applyFont="1" applyBorder="1" applyAlignment="1">
      <alignment vertical="top" wrapText="1"/>
    </xf>
    <xf numFmtId="0" fontId="6" fillId="0" borderId="12" xfId="0" applyFont="1" applyBorder="1" applyAlignment="1">
      <alignment horizontal="center" vertical="top" wrapText="1"/>
    </xf>
    <xf numFmtId="0" fontId="6" fillId="0" borderId="13" xfId="0" applyFont="1" applyBorder="1" applyAlignment="1">
      <alignment vertical="top" wrapText="1"/>
    </xf>
    <xf numFmtId="0" fontId="6" fillId="4" borderId="4" xfId="0" applyFont="1" applyFill="1" applyBorder="1" applyAlignment="1">
      <alignment horizontal="center" vertical="top" wrapText="1"/>
    </xf>
    <xf numFmtId="0" fontId="6" fillId="4" borderId="1" xfId="0" applyFont="1" applyFill="1" applyBorder="1" applyAlignment="1">
      <alignment vertical="top" wrapText="1"/>
    </xf>
    <xf numFmtId="0" fontId="6" fillId="2" borderId="1"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4" borderId="1" xfId="0" applyFont="1" applyFill="1" applyBorder="1" applyAlignment="1">
      <alignment horizontal="center" vertical="top" wrapText="1"/>
    </xf>
    <xf numFmtId="0" fontId="6" fillId="4" borderId="4" xfId="0" applyFont="1" applyFill="1" applyBorder="1" applyAlignment="1">
      <alignment vertical="top" wrapText="1"/>
    </xf>
    <xf numFmtId="0" fontId="6" fillId="0" borderId="1"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6" fillId="4" borderId="10" xfId="0" applyFont="1" applyFill="1" applyBorder="1" applyAlignment="1">
      <alignment horizontal="center" vertical="top" wrapText="1"/>
    </xf>
    <xf numFmtId="0" fontId="6" fillId="4" borderId="9" xfId="0" applyFont="1" applyFill="1" applyBorder="1" applyAlignment="1">
      <alignment vertical="top" wrapText="1"/>
    </xf>
    <xf numFmtId="8" fontId="0" fillId="4" borderId="10" xfId="0" applyNumberFormat="1" applyFill="1" applyBorder="1" applyAlignment="1">
      <alignment horizontal="right" wrapText="1"/>
    </xf>
    <xf numFmtId="0" fontId="14" fillId="2" borderId="1" xfId="0" applyFont="1" applyFill="1" applyBorder="1" applyAlignment="1">
      <alignment horizontal="center" vertical="top"/>
    </xf>
    <xf numFmtId="0" fontId="0" fillId="0" borderId="13" xfId="0" applyBorder="1" applyAlignment="1">
      <alignment horizontal="center" vertical="top"/>
    </xf>
    <xf numFmtId="0" fontId="0" fillId="0" borderId="13" xfId="0" applyBorder="1" applyAlignment="1">
      <alignment vertical="top" wrapText="1"/>
    </xf>
    <xf numFmtId="0" fontId="0" fillId="0" borderId="14" xfId="0" applyBorder="1" applyAlignment="1">
      <alignment horizontal="center" vertical="top"/>
    </xf>
    <xf numFmtId="0" fontId="0" fillId="0" borderId="14" xfId="0" applyBorder="1" applyAlignment="1">
      <alignment vertical="top" wrapText="1"/>
    </xf>
    <xf numFmtId="0" fontId="0" fillId="4" borderId="1" xfId="0" applyFill="1" applyBorder="1" applyAlignment="1">
      <alignment horizontal="center" vertical="top"/>
    </xf>
    <xf numFmtId="0" fontId="0" fillId="4" borderId="1" xfId="0" applyFill="1" applyBorder="1" applyAlignment="1">
      <alignment vertical="top" wrapText="1"/>
    </xf>
    <xf numFmtId="0" fontId="3" fillId="2" borderId="1" xfId="10" applyFill="1" applyBorder="1" applyAlignment="1">
      <alignment horizontal="center" vertical="top" wrapText="1"/>
    </xf>
    <xf numFmtId="0" fontId="2" fillId="2" borderId="1" xfId="0" applyFont="1" applyFill="1" applyBorder="1" applyAlignment="1">
      <alignment horizontal="center" vertical="top" wrapText="1"/>
    </xf>
    <xf numFmtId="0" fontId="4" fillId="0" borderId="13" xfId="0" applyFont="1" applyBorder="1" applyAlignment="1">
      <alignment vertical="top" wrapText="1"/>
    </xf>
    <xf numFmtId="0" fontId="16" fillId="2" borderId="1" xfId="0" applyFont="1" applyFill="1" applyBorder="1" applyAlignment="1">
      <alignment horizontal="center" vertical="top"/>
    </xf>
    <xf numFmtId="0" fontId="0" fillId="0" borderId="11" xfId="0" applyBorder="1" applyAlignment="1">
      <alignment vertical="top" wrapText="1"/>
    </xf>
    <xf numFmtId="0" fontId="2" fillId="2" borderId="1" xfId="0" applyFont="1" applyFill="1" applyBorder="1" applyAlignment="1">
      <alignment vertical="top" wrapText="1"/>
    </xf>
    <xf numFmtId="9" fontId="2" fillId="3" borderId="1" xfId="0" applyNumberFormat="1" applyFont="1" applyFill="1" applyBorder="1" applyAlignment="1">
      <alignment horizontal="left" vertical="top" wrapText="1"/>
    </xf>
    <xf numFmtId="0" fontId="0" fillId="0" borderId="1" xfId="0" applyBorder="1" applyAlignment="1">
      <alignment vertical="top" wrapText="1"/>
    </xf>
    <xf numFmtId="0" fontId="4" fillId="0" borderId="14" xfId="0" applyFont="1" applyBorder="1" applyAlignment="1">
      <alignment vertical="top" wrapText="1"/>
    </xf>
    <xf numFmtId="0" fontId="0" fillId="0" borderId="10" xfId="0" applyBorder="1" applyAlignment="1">
      <alignment vertical="top" wrapText="1"/>
    </xf>
    <xf numFmtId="0" fontId="0" fillId="0" borderId="9" xfId="0" applyBorder="1" applyAlignment="1">
      <alignment horizontal="center" vertical="top"/>
    </xf>
    <xf numFmtId="9" fontId="4" fillId="3" borderId="1" xfId="0" applyNumberFormat="1" applyFont="1" applyFill="1" applyBorder="1" applyAlignment="1">
      <alignment horizontal="left" vertical="top" wrapText="1"/>
    </xf>
    <xf numFmtId="0" fontId="0" fillId="0" borderId="8" xfId="0" applyBorder="1" applyAlignment="1">
      <alignment horizontal="center" vertical="top"/>
    </xf>
    <xf numFmtId="0" fontId="0" fillId="0" borderId="12" xfId="0" applyBorder="1" applyAlignment="1">
      <alignment horizontal="center" vertical="top"/>
    </xf>
    <xf numFmtId="0" fontId="0" fillId="0" borderId="0" xfId="0" applyAlignment="1">
      <alignment vertical="top"/>
    </xf>
    <xf numFmtId="0" fontId="4" fillId="0" borderId="11" xfId="0" applyFont="1" applyBorder="1" applyAlignment="1">
      <alignment vertical="top" wrapText="1"/>
    </xf>
    <xf numFmtId="0" fontId="18" fillId="2" borderId="1" xfId="0" applyFont="1" applyFill="1" applyBorder="1" applyAlignment="1">
      <alignment horizontal="left" vertical="top"/>
    </xf>
    <xf numFmtId="0" fontId="18" fillId="2" borderId="5" xfId="0" applyFont="1" applyFill="1" applyBorder="1" applyAlignment="1">
      <alignment horizontal="left" vertical="top"/>
    </xf>
    <xf numFmtId="0" fontId="18" fillId="2" borderId="3" xfId="0" applyFont="1" applyFill="1" applyBorder="1" applyAlignment="1">
      <alignment horizontal="left" vertical="top"/>
    </xf>
    <xf numFmtId="0" fontId="18" fillId="2" borderId="4" xfId="0" applyFont="1" applyFill="1" applyBorder="1" applyAlignment="1">
      <alignment horizontal="left" vertical="top"/>
    </xf>
    <xf numFmtId="0" fontId="18" fillId="2" borderId="8" xfId="0" applyFont="1" applyFill="1" applyBorder="1" applyAlignment="1">
      <alignment horizontal="left" vertical="top"/>
    </xf>
    <xf numFmtId="0" fontId="14" fillId="5" borderId="1" xfId="0" applyFont="1" applyFill="1" applyBorder="1" applyAlignment="1">
      <alignment horizontal="centerContinuous" vertical="top" wrapText="1"/>
    </xf>
    <xf numFmtId="0" fontId="10" fillId="2" borderId="1" xfId="0" applyFont="1" applyFill="1" applyBorder="1" applyAlignment="1">
      <alignment horizontal="centerContinuous" vertical="top" wrapText="1"/>
    </xf>
    <xf numFmtId="0" fontId="20" fillId="2" borderId="1" xfId="0" applyFont="1" applyFill="1" applyBorder="1" applyAlignment="1">
      <alignment horizontal="centerContinuous" vertical="top" wrapText="1"/>
    </xf>
    <xf numFmtId="165" fontId="7" fillId="0" borderId="0" xfId="1" applyNumberFormat="1" applyFont="1" applyBorder="1" applyAlignment="1">
      <alignment horizontal="centerContinuous" wrapText="1"/>
    </xf>
    <xf numFmtId="165" fontId="7" fillId="0" borderId="12" xfId="1" applyNumberFormat="1" applyFont="1" applyBorder="1" applyAlignment="1">
      <alignment horizontal="centerContinuous" wrapText="1"/>
    </xf>
    <xf numFmtId="165" fontId="7" fillId="0" borderId="7" xfId="1" applyNumberFormat="1" applyFont="1" applyBorder="1" applyAlignment="1">
      <alignment horizontal="centerContinuous" wrapText="1"/>
    </xf>
    <xf numFmtId="165" fontId="7" fillId="0" borderId="6" xfId="1" applyNumberFormat="1" applyFont="1" applyBorder="1" applyAlignment="1">
      <alignment horizontal="centerContinuous" wrapText="1"/>
    </xf>
    <xf numFmtId="165" fontId="7" fillId="0" borderId="8" xfId="1" applyNumberFormat="1" applyFont="1" applyBorder="1" applyAlignment="1">
      <alignment horizontal="centerContinuous" wrapText="1"/>
    </xf>
    <xf numFmtId="8" fontId="7" fillId="0" borderId="11" xfId="1" applyNumberFormat="1" applyFont="1" applyBorder="1" applyAlignment="1">
      <alignment horizontal="centerContinuous" wrapText="1"/>
    </xf>
    <xf numFmtId="44" fontId="7" fillId="0" borderId="0" xfId="1" applyFont="1" applyBorder="1" applyAlignment="1">
      <alignment horizontal="centerContinuous" wrapText="1"/>
    </xf>
    <xf numFmtId="44" fontId="7" fillId="0" borderId="12" xfId="1" applyFont="1" applyBorder="1" applyAlignment="1">
      <alignment horizontal="centerContinuous" wrapText="1"/>
    </xf>
    <xf numFmtId="165" fontId="7" fillId="0" borderId="11" xfId="1" applyNumberFormat="1" applyFont="1" applyBorder="1" applyAlignment="1">
      <alignment horizontal="centerContinuous" wrapText="1"/>
    </xf>
    <xf numFmtId="0" fontId="6" fillId="0" borderId="0" xfId="0" applyFont="1" applyAlignment="1">
      <alignment horizontal="centerContinuous" vertical="top" wrapText="1"/>
    </xf>
    <xf numFmtId="0" fontId="10" fillId="2" borderId="5" xfId="0" applyFont="1" applyFill="1" applyBorder="1" applyAlignment="1">
      <alignment horizontal="centerContinuous" vertical="top" wrapText="1"/>
    </xf>
    <xf numFmtId="0" fontId="10" fillId="2" borderId="3" xfId="0" applyFont="1" applyFill="1" applyBorder="1" applyAlignment="1">
      <alignment horizontal="centerContinuous" vertical="top" wrapText="1"/>
    </xf>
    <xf numFmtId="0" fontId="10" fillId="2" borderId="4" xfId="0" applyFont="1" applyFill="1" applyBorder="1" applyAlignment="1">
      <alignment horizontal="centerContinuous" vertical="top" wrapText="1"/>
    </xf>
    <xf numFmtId="0" fontId="14" fillId="2" borderId="1" xfId="0" applyFont="1" applyFill="1" applyBorder="1" applyAlignment="1">
      <alignment horizontal="centerContinuous" vertical="top"/>
    </xf>
    <xf numFmtId="0" fontId="0" fillId="2" borderId="1" xfId="0" applyFill="1" applyBorder="1" applyAlignment="1">
      <alignment horizontal="centerContinuous" vertical="top"/>
    </xf>
    <xf numFmtId="8" fontId="0" fillId="0" borderId="1" xfId="0" applyNumberFormat="1" applyBorder="1" applyAlignment="1">
      <alignment horizontal="centerContinuous"/>
    </xf>
    <xf numFmtId="0" fontId="0" fillId="0" borderId="6" xfId="0" applyBorder="1" applyAlignment="1">
      <alignment horizontal="centerContinuous" vertical="top" wrapText="1"/>
    </xf>
    <xf numFmtId="0" fontId="0" fillId="0" borderId="0" xfId="0" applyAlignment="1">
      <alignment horizontal="centerContinuous" vertical="top" wrapText="1"/>
    </xf>
    <xf numFmtId="0" fontId="11" fillId="5" borderId="4" xfId="0" applyFont="1" applyFill="1" applyBorder="1" applyAlignment="1">
      <alignment horizontal="centerContinuous" vertical="top" wrapText="1"/>
    </xf>
    <xf numFmtId="0" fontId="14" fillId="5" borderId="5" xfId="0" applyFont="1" applyFill="1" applyBorder="1" applyAlignment="1">
      <alignment horizontal="centerContinuous" vertical="top" wrapText="1"/>
    </xf>
    <xf numFmtId="0" fontId="14" fillId="5" borderId="3" xfId="0" applyFont="1" applyFill="1" applyBorder="1" applyAlignment="1">
      <alignment horizontal="centerContinuous" vertical="top" wrapText="1"/>
    </xf>
    <xf numFmtId="0" fontId="14" fillId="2" borderId="5" xfId="0" applyFont="1" applyFill="1" applyBorder="1" applyAlignment="1">
      <alignment horizontal="centerContinuous" vertical="top" wrapText="1"/>
    </xf>
    <xf numFmtId="0" fontId="14" fillId="2" borderId="4" xfId="0" applyFont="1" applyFill="1" applyBorder="1" applyAlignment="1">
      <alignment horizontal="centerContinuous" vertical="top" wrapText="1"/>
    </xf>
    <xf numFmtId="0" fontId="14" fillId="2" borderId="5" xfId="0" applyFont="1" applyFill="1" applyBorder="1" applyAlignment="1">
      <alignment horizontal="centerContinuous" vertical="top"/>
    </xf>
    <xf numFmtId="0" fontId="14" fillId="2" borderId="3" xfId="0" applyFont="1" applyFill="1" applyBorder="1" applyAlignment="1">
      <alignment horizontal="centerContinuous" vertical="top"/>
    </xf>
    <xf numFmtId="0" fontId="14" fillId="2" borderId="4" xfId="0" applyFont="1" applyFill="1" applyBorder="1" applyAlignment="1">
      <alignment horizontal="centerContinuous" vertical="top"/>
    </xf>
    <xf numFmtId="0" fontId="18" fillId="2" borderId="4" xfId="0" applyFont="1" applyFill="1" applyBorder="1" applyAlignment="1">
      <alignment vertical="top"/>
    </xf>
    <xf numFmtId="0" fontId="17" fillId="2" borderId="5" xfId="0" applyFont="1" applyFill="1" applyBorder="1" applyAlignment="1">
      <alignment horizontal="centerContinuous" vertical="top" wrapText="1"/>
    </xf>
    <xf numFmtId="0" fontId="17" fillId="2" borderId="3" xfId="0" applyFont="1" applyFill="1" applyBorder="1" applyAlignment="1">
      <alignment horizontal="centerContinuous" vertical="top" wrapText="1"/>
    </xf>
    <xf numFmtId="0" fontId="17" fillId="2" borderId="4" xfId="0" applyFont="1" applyFill="1" applyBorder="1" applyAlignment="1">
      <alignment horizontal="centerContinuous" vertical="top" wrapText="1"/>
    </xf>
    <xf numFmtId="8" fontId="0" fillId="0" borderId="10" xfId="0" applyNumberFormat="1" applyBorder="1" applyAlignment="1">
      <alignment horizontal="centerContinuous"/>
    </xf>
    <xf numFmtId="0" fontId="17" fillId="2" borderId="1" xfId="0" applyFont="1" applyFill="1" applyBorder="1" applyAlignment="1">
      <alignment horizontal="centerContinuous" vertical="top" wrapText="1"/>
    </xf>
    <xf numFmtId="9" fontId="2" fillId="3" borderId="5" xfId="0" applyNumberFormat="1" applyFont="1" applyFill="1" applyBorder="1" applyAlignment="1">
      <alignment horizontal="centerContinuous" vertical="top" wrapText="1"/>
    </xf>
    <xf numFmtId="0" fontId="18" fillId="2" borderId="4" xfId="0" applyFont="1" applyFill="1" applyBorder="1" applyAlignment="1">
      <alignment horizontal="centerContinuous" vertical="top"/>
    </xf>
    <xf numFmtId="0" fontId="14" fillId="2" borderId="14" xfId="0" applyFont="1" applyFill="1" applyBorder="1" applyAlignment="1">
      <alignment horizontal="center" vertical="top"/>
    </xf>
    <xf numFmtId="0" fontId="18" fillId="2" borderId="3" xfId="0" applyFont="1" applyFill="1" applyBorder="1" applyAlignment="1">
      <alignment horizontal="centerContinuous" vertical="top"/>
    </xf>
    <xf numFmtId="0" fontId="24" fillId="0" borderId="0" xfId="0" applyFont="1" applyAlignment="1">
      <alignment wrapText="1"/>
    </xf>
    <xf numFmtId="0" fontId="5" fillId="0" borderId="7" xfId="0" applyFont="1" applyBorder="1" applyAlignment="1">
      <alignment vertical="top" wrapText="1"/>
    </xf>
    <xf numFmtId="0" fontId="5" fillId="0" borderId="6" xfId="0" applyFont="1" applyBorder="1" applyAlignment="1">
      <alignment vertical="top" wrapText="1"/>
    </xf>
    <xf numFmtId="165" fontId="2" fillId="4" borderId="1" xfId="0" applyNumberFormat="1" applyFont="1" applyFill="1" applyBorder="1" applyAlignment="1">
      <alignment horizontal="center" wrapText="1"/>
    </xf>
    <xf numFmtId="0" fontId="4" fillId="0" borderId="6" xfId="0" applyFont="1" applyBorder="1" applyAlignment="1">
      <alignment horizontal="centerContinuous" vertical="top" wrapText="1"/>
    </xf>
    <xf numFmtId="165" fontId="8" fillId="0" borderId="14" xfId="1" applyNumberFormat="1" applyFont="1" applyFill="1" applyBorder="1" applyAlignment="1">
      <alignment horizontal="center" wrapText="1"/>
    </xf>
    <xf numFmtId="165" fontId="4" fillId="0" borderId="13" xfId="1" applyNumberFormat="1" applyFont="1" applyFill="1" applyBorder="1" applyAlignment="1">
      <alignment horizontal="center" wrapText="1"/>
    </xf>
    <xf numFmtId="165" fontId="4" fillId="0" borderId="10" xfId="1" applyNumberFormat="1" applyFont="1" applyFill="1" applyBorder="1" applyAlignment="1">
      <alignment horizontal="center" wrapText="1"/>
    </xf>
    <xf numFmtId="0" fontId="8" fillId="0" borderId="6" xfId="0" applyFont="1" applyBorder="1" applyAlignment="1">
      <alignment horizontal="centerContinuous" vertical="top" wrapText="1"/>
    </xf>
    <xf numFmtId="0" fontId="6" fillId="0" borderId="14" xfId="0" applyFont="1" applyBorder="1" applyAlignment="1">
      <alignment horizontal="center" wrapText="1"/>
    </xf>
    <xf numFmtId="0" fontId="6" fillId="0" borderId="12" xfId="0" applyFont="1" applyBorder="1" applyAlignment="1">
      <alignment wrapText="1"/>
    </xf>
    <xf numFmtId="0" fontId="4" fillId="0" borderId="6" xfId="0" applyFont="1" applyBorder="1" applyAlignment="1">
      <alignment horizontal="centerContinuous" wrapText="1"/>
    </xf>
    <xf numFmtId="9" fontId="2" fillId="0" borderId="1" xfId="0" applyNumberFormat="1" applyFont="1" applyBorder="1" applyAlignment="1">
      <alignment horizontal="left" vertical="top" wrapText="1"/>
    </xf>
    <xf numFmtId="6" fontId="1" fillId="0" borderId="1" xfId="2" applyNumberFormat="1" applyFont="1" applyFill="1" applyBorder="1" applyAlignment="1">
      <alignment horizontal="center" wrapText="1"/>
    </xf>
    <xf numFmtId="8" fontId="0" fillId="0" borderId="1" xfId="0" applyNumberFormat="1" applyBorder="1"/>
    <xf numFmtId="0" fontId="4" fillId="0" borderId="0" xfId="0" applyFont="1" applyAlignment="1">
      <alignment horizontal="centerContinuous" vertical="top" wrapText="1"/>
    </xf>
    <xf numFmtId="165" fontId="4" fillId="0" borderId="14" xfId="0" applyNumberFormat="1" applyFont="1" applyBorder="1"/>
    <xf numFmtId="164" fontId="4" fillId="0" borderId="8" xfId="2" applyNumberFormat="1" applyFont="1" applyFill="1" applyBorder="1"/>
    <xf numFmtId="165" fontId="0" fillId="0" borderId="8" xfId="0" applyNumberFormat="1" applyBorder="1" applyAlignment="1">
      <alignment wrapText="1"/>
    </xf>
    <xf numFmtId="165" fontId="4" fillId="0" borderId="13" xfId="0" applyNumberFormat="1" applyFont="1" applyBorder="1"/>
    <xf numFmtId="164" fontId="4" fillId="0" borderId="12" xfId="2" applyNumberFormat="1" applyFont="1" applyFill="1" applyBorder="1"/>
    <xf numFmtId="165" fontId="0" fillId="0" borderId="12" xfId="0" applyNumberFormat="1" applyBorder="1" applyAlignment="1">
      <alignment wrapText="1"/>
    </xf>
    <xf numFmtId="0" fontId="4" fillId="0" borderId="10" xfId="0" applyFont="1" applyBorder="1" applyAlignment="1">
      <alignment vertical="top" wrapText="1"/>
    </xf>
    <xf numFmtId="165" fontId="4" fillId="0" borderId="10" xfId="0" applyNumberFormat="1" applyFont="1" applyBorder="1"/>
    <xf numFmtId="164" fontId="4" fillId="0" borderId="9" xfId="2" applyNumberFormat="1" applyFont="1" applyFill="1" applyBorder="1"/>
    <xf numFmtId="165" fontId="0" fillId="0" borderId="1" xfId="0" applyNumberFormat="1" applyBorder="1" applyAlignment="1">
      <alignment wrapText="1"/>
    </xf>
    <xf numFmtId="164" fontId="1" fillId="0" borderId="1" xfId="2" applyNumberFormat="1" applyFill="1" applyBorder="1" applyAlignment="1">
      <alignment wrapText="1"/>
    </xf>
    <xf numFmtId="165" fontId="4" fillId="0" borderId="1" xfId="0" applyNumberFormat="1" applyFont="1" applyBorder="1" applyAlignment="1">
      <alignment wrapText="1"/>
    </xf>
    <xf numFmtId="164" fontId="4" fillId="0" borderId="1" xfId="2" applyNumberFormat="1" applyFont="1" applyFill="1" applyBorder="1"/>
    <xf numFmtId="43" fontId="4" fillId="0" borderId="1" xfId="2" applyFont="1" applyFill="1" applyBorder="1" applyAlignment="1">
      <alignment horizontal="center" wrapText="1"/>
    </xf>
    <xf numFmtId="9" fontId="2" fillId="0" borderId="4" xfId="0" applyNumberFormat="1" applyFont="1" applyBorder="1" applyAlignment="1">
      <alignment horizontal="centerContinuous" vertical="top" wrapText="1"/>
    </xf>
    <xf numFmtId="4" fontId="4" fillId="0" borderId="1" xfId="0" applyNumberFormat="1" applyFont="1" applyBorder="1" applyAlignment="1">
      <alignment horizontal="center" wrapText="1"/>
    </xf>
    <xf numFmtId="9" fontId="4" fillId="0" borderId="0" xfId="0" applyNumberFormat="1" applyFont="1" applyAlignment="1">
      <alignment horizontal="centerContinuous" vertical="top" wrapText="1"/>
    </xf>
    <xf numFmtId="9" fontId="2" fillId="0" borderId="0" xfId="0" applyNumberFormat="1" applyFont="1" applyAlignment="1">
      <alignment horizontal="left" vertical="top" wrapText="1"/>
    </xf>
    <xf numFmtId="6" fontId="4" fillId="0" borderId="13" xfId="2" applyNumberFormat="1" applyFont="1" applyFill="1" applyBorder="1" applyAlignment="1">
      <alignment horizontal="center" wrapText="1"/>
    </xf>
    <xf numFmtId="9" fontId="2" fillId="0" borderId="10" xfId="0" applyNumberFormat="1" applyFont="1" applyBorder="1" applyAlignment="1">
      <alignment horizontal="left" vertical="top" wrapText="1"/>
    </xf>
    <xf numFmtId="6" fontId="4" fillId="0" borderId="10" xfId="2" applyNumberFormat="1" applyFont="1" applyFill="1" applyBorder="1" applyAlignment="1">
      <alignment horizontal="center" wrapText="1"/>
    </xf>
    <xf numFmtId="9" fontId="2" fillId="0" borderId="8" xfId="0" applyNumberFormat="1" applyFont="1" applyBorder="1" applyAlignment="1">
      <alignment horizontal="left" vertical="top" wrapText="1"/>
    </xf>
    <xf numFmtId="6" fontId="4" fillId="0" borderId="8" xfId="2" applyNumberFormat="1" applyFont="1" applyFill="1" applyBorder="1" applyAlignment="1">
      <alignment horizontal="center" wrapText="1"/>
    </xf>
    <xf numFmtId="0" fontId="0" fillId="0" borderId="0" xfId="0" applyAlignment="1">
      <alignment horizontal="centerContinuous" wrapText="1"/>
    </xf>
    <xf numFmtId="10" fontId="0" fillId="0" borderId="14" xfId="3" applyNumberFormat="1" applyFont="1" applyFill="1" applyBorder="1" applyAlignment="1">
      <alignment wrapText="1"/>
    </xf>
    <xf numFmtId="10" fontId="0" fillId="0" borderId="13" xfId="3" applyNumberFormat="1" applyFont="1" applyFill="1" applyBorder="1" applyAlignment="1">
      <alignment wrapText="1"/>
    </xf>
    <xf numFmtId="10" fontId="0" fillId="0" borderId="10" xfId="3" applyNumberFormat="1" applyFont="1" applyFill="1" applyBorder="1" applyAlignment="1">
      <alignment wrapText="1"/>
    </xf>
    <xf numFmtId="10" fontId="1" fillId="0" borderId="4" xfId="3" applyNumberFormat="1" applyFill="1" applyBorder="1" applyAlignment="1">
      <alignment wrapText="1"/>
    </xf>
    <xf numFmtId="0" fontId="17" fillId="2" borderId="1" xfId="0" applyFont="1" applyFill="1" applyBorder="1" applyAlignment="1">
      <alignment horizontal="left" vertical="top" wrapText="1"/>
    </xf>
    <xf numFmtId="0" fontId="25" fillId="2" borderId="1" xfId="0" applyFont="1" applyFill="1" applyBorder="1" applyAlignment="1">
      <alignment horizontal="left" vertical="top" wrapText="1"/>
    </xf>
    <xf numFmtId="6" fontId="4" fillId="0" borderId="14" xfId="2" applyNumberFormat="1" applyFont="1" applyFill="1" applyBorder="1" applyAlignment="1">
      <alignment horizontal="center" wrapText="1"/>
    </xf>
    <xf numFmtId="9" fontId="2" fillId="0" borderId="14" xfId="0" applyNumberFormat="1" applyFont="1" applyFill="1" applyBorder="1" applyAlignment="1">
      <alignment horizontal="left" vertical="top" wrapText="1"/>
    </xf>
    <xf numFmtId="9" fontId="2" fillId="0" borderId="10" xfId="0" applyNumberFormat="1" applyFont="1" applyFill="1" applyBorder="1" applyAlignment="1">
      <alignment horizontal="left" vertical="top" wrapText="1"/>
    </xf>
    <xf numFmtId="0" fontId="25" fillId="2" borderId="1" xfId="0" applyFont="1" applyFill="1" applyBorder="1" applyAlignment="1">
      <alignment vertical="top" wrapText="1"/>
    </xf>
  </cellXfs>
  <cellStyles count="11">
    <cellStyle name="Comma" xfId="2" builtinId="3"/>
    <cellStyle name="Comma 2" xfId="6" xr:uid="{00000000-0005-0000-0000-000001000000}"/>
    <cellStyle name="Currency" xfId="1" builtinId="4"/>
    <cellStyle name="Currency 2" xfId="7" xr:uid="{00000000-0005-0000-0000-000003000000}"/>
    <cellStyle name="Normal" xfId="0" builtinId="0"/>
    <cellStyle name="Normal 2" xfId="4" xr:uid="{00000000-0005-0000-0000-000006000000}"/>
    <cellStyle name="Normal 3" xfId="8" xr:uid="{B33C0B25-B3B6-4251-92E3-DE0CF1243F1E}"/>
    <cellStyle name="Normal 3 2" xfId="10" xr:uid="{B6A007CB-A61A-43AB-9612-62A0A0408C1E}"/>
    <cellStyle name="Percent" xfId="3" builtinId="5"/>
    <cellStyle name="Percent 2" xfId="5" xr:uid="{00000000-0005-0000-0000-000008000000}"/>
    <cellStyle name="Percent 3" xfId="9" xr:uid="{A16FD5E8-6415-45CC-9D06-8FC62B27CA58}"/>
  </cellStyles>
  <dxfs count="0"/>
  <tableStyles count="0" defaultTableStyle="TableStyleMedium2" defaultPivotStyle="PivotStyleLight16"/>
  <colors>
    <mruColors>
      <color rgb="FFB9CDE5"/>
      <color rgb="FFFF1971"/>
      <color rgb="FFFD8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158E-AD2D-4C5D-916F-B72B76D905CC}">
  <dimension ref="A1:P40"/>
  <sheetViews>
    <sheetView tabSelected="1" zoomScaleNormal="100" workbookViewId="0"/>
  </sheetViews>
  <sheetFormatPr defaultColWidth="8.7109375" defaultRowHeight="15" x14ac:dyDescent="0.25"/>
  <cols>
    <col min="1" max="1" width="13.42578125" bestFit="1" customWidth="1"/>
    <col min="2" max="2" width="76.140625" customWidth="1"/>
    <col min="3" max="4" width="22.42578125" bestFit="1" customWidth="1"/>
    <col min="5" max="5" width="21.140625" customWidth="1"/>
    <col min="6" max="6" width="20.85546875" customWidth="1"/>
    <col min="7" max="7" width="14.85546875" bestFit="1" customWidth="1"/>
    <col min="8" max="8" width="15.85546875" bestFit="1" customWidth="1"/>
    <col min="9" max="12" width="15.85546875" customWidth="1"/>
    <col min="13" max="13" width="14.85546875" bestFit="1" customWidth="1"/>
    <col min="14" max="14" width="18.140625" bestFit="1" customWidth="1"/>
    <col min="15" max="15" width="18.140625" customWidth="1"/>
    <col min="16" max="16" width="9.140625" bestFit="1" customWidth="1"/>
    <col min="17" max="17" width="10.5703125" bestFit="1" customWidth="1"/>
    <col min="18" max="19" width="14.7109375" customWidth="1"/>
    <col min="20" max="20" width="10.85546875" bestFit="1" customWidth="1"/>
    <col min="21" max="21" width="13.85546875" bestFit="1" customWidth="1"/>
    <col min="22" max="22" width="22.140625" customWidth="1"/>
  </cols>
  <sheetData>
    <row r="1" spans="1:16" ht="18.600000000000001" customHeight="1" x14ac:dyDescent="0.25">
      <c r="A1" s="118" t="s">
        <v>200</v>
      </c>
      <c r="B1" s="118"/>
      <c r="C1" s="118"/>
      <c r="D1" s="118"/>
      <c r="E1" s="5"/>
      <c r="F1" s="5"/>
      <c r="G1" s="5"/>
      <c r="H1" s="5"/>
      <c r="I1" s="5"/>
      <c r="J1" s="5"/>
      <c r="K1" s="5"/>
      <c r="L1" s="5"/>
      <c r="M1" s="5"/>
    </row>
    <row r="2" spans="1:16" ht="30" x14ac:dyDescent="0.25">
      <c r="A2" s="10" t="s">
        <v>23</v>
      </c>
      <c r="B2" s="10" t="s">
        <v>24</v>
      </c>
      <c r="C2" s="10" t="s">
        <v>26</v>
      </c>
      <c r="D2" s="10" t="s">
        <v>25</v>
      </c>
      <c r="E2" s="5"/>
      <c r="F2" s="5"/>
      <c r="G2" s="5"/>
      <c r="H2" s="5"/>
      <c r="I2" s="5"/>
      <c r="J2" s="5"/>
      <c r="K2" s="5"/>
      <c r="L2" s="5"/>
    </row>
    <row r="3" spans="1:16" ht="45" x14ac:dyDescent="0.25">
      <c r="A3" s="16" t="s">
        <v>27</v>
      </c>
      <c r="B3" s="19" t="s">
        <v>119</v>
      </c>
      <c r="C3" s="54">
        <v>3850</v>
      </c>
      <c r="D3" s="54">
        <v>8850</v>
      </c>
      <c r="E3" s="5"/>
      <c r="F3" s="5"/>
      <c r="G3" s="5"/>
      <c r="H3" s="5"/>
      <c r="I3" s="5"/>
      <c r="J3" s="5"/>
      <c r="K3" s="5"/>
      <c r="L3" s="5"/>
    </row>
    <row r="4" spans="1:16" x14ac:dyDescent="0.25">
      <c r="A4" s="17" t="s">
        <v>28</v>
      </c>
      <c r="B4" s="12" t="s">
        <v>120</v>
      </c>
      <c r="C4" s="55">
        <f>C3+(C3*0.1)</f>
        <v>4235</v>
      </c>
      <c r="D4" s="55">
        <f>D3+(D3*0.1)</f>
        <v>9735</v>
      </c>
      <c r="E4" s="5"/>
      <c r="F4" s="5"/>
      <c r="G4" s="5"/>
      <c r="H4" s="5"/>
      <c r="I4" s="5"/>
      <c r="J4" s="5"/>
      <c r="K4" s="5"/>
      <c r="L4" s="5"/>
    </row>
    <row r="5" spans="1:16" ht="42.95" customHeight="1" x14ac:dyDescent="0.25">
      <c r="A5" s="17" t="s">
        <v>29</v>
      </c>
      <c r="B5" s="21" t="s">
        <v>105</v>
      </c>
      <c r="C5" s="56">
        <v>4135</v>
      </c>
      <c r="D5" s="56">
        <v>9333</v>
      </c>
      <c r="E5" s="29"/>
      <c r="F5" s="5"/>
      <c r="G5" s="5"/>
      <c r="H5" s="5"/>
      <c r="I5" s="5"/>
      <c r="J5" s="5"/>
      <c r="K5" s="5"/>
      <c r="L5" s="5"/>
    </row>
    <row r="6" spans="1:16" ht="30" x14ac:dyDescent="0.25">
      <c r="A6" s="17" t="s">
        <v>30</v>
      </c>
      <c r="B6" s="12" t="s">
        <v>121</v>
      </c>
      <c r="C6" s="55">
        <f>MIN(C4,C5)</f>
        <v>4135</v>
      </c>
      <c r="D6" s="55">
        <f>MIN(D4,D5)</f>
        <v>9333</v>
      </c>
      <c r="E6" s="5"/>
      <c r="F6" s="5"/>
      <c r="G6" s="5"/>
      <c r="H6" s="5"/>
      <c r="I6" s="5"/>
      <c r="J6" s="5"/>
      <c r="K6" s="5"/>
      <c r="L6" s="5"/>
    </row>
    <row r="7" spans="1:16" x14ac:dyDescent="0.25">
      <c r="A7" s="17" t="s">
        <v>31</v>
      </c>
      <c r="B7" s="12" t="s">
        <v>122</v>
      </c>
      <c r="C7" s="55">
        <v>4150</v>
      </c>
      <c r="D7" s="55">
        <v>9350</v>
      </c>
      <c r="E7" s="5"/>
      <c r="F7" s="5"/>
      <c r="G7" s="5"/>
      <c r="H7" s="5"/>
      <c r="I7" s="5"/>
      <c r="J7" s="5"/>
      <c r="K7" s="5"/>
      <c r="L7" s="5"/>
    </row>
    <row r="8" spans="1:16" ht="28.5" customHeight="1" x14ac:dyDescent="0.25">
      <c r="A8" s="18" t="s">
        <v>32</v>
      </c>
      <c r="B8" s="20" t="s">
        <v>123</v>
      </c>
      <c r="C8" s="57">
        <v>0</v>
      </c>
      <c r="D8" s="57">
        <f>C17+1</f>
        <v>6751</v>
      </c>
      <c r="E8" s="5"/>
      <c r="F8" s="5" t="s">
        <v>0</v>
      </c>
      <c r="G8" s="5"/>
      <c r="H8" s="5"/>
      <c r="I8" s="5"/>
      <c r="J8" s="5"/>
      <c r="K8" s="5"/>
      <c r="L8" s="5"/>
    </row>
    <row r="9" spans="1:16" ht="30" x14ac:dyDescent="0.25">
      <c r="A9" s="43" t="s">
        <v>33</v>
      </c>
      <c r="B9" s="11" t="s">
        <v>244</v>
      </c>
      <c r="C9" s="58" t="s">
        <v>243</v>
      </c>
      <c r="D9" s="58" t="s">
        <v>247</v>
      </c>
      <c r="E9" s="5"/>
      <c r="F9" s="5"/>
      <c r="G9" s="5"/>
      <c r="H9" s="5"/>
      <c r="I9" s="5"/>
      <c r="J9" s="5"/>
      <c r="K9" s="5"/>
      <c r="L9" s="5"/>
    </row>
    <row r="10" spans="1:16" ht="29.25" customHeight="1" x14ac:dyDescent="0.25">
      <c r="A10" s="161" t="s">
        <v>235</v>
      </c>
      <c r="B10" s="161"/>
      <c r="C10" s="161"/>
      <c r="D10" s="161"/>
      <c r="E10" s="5"/>
      <c r="F10" s="5"/>
      <c r="G10" s="5"/>
      <c r="H10" s="5"/>
      <c r="I10" s="5"/>
      <c r="J10" s="5"/>
      <c r="K10" s="5"/>
      <c r="L10" s="5"/>
    </row>
    <row r="11" spans="1:16" x14ac:dyDescent="0.25">
      <c r="A11" s="5"/>
      <c r="B11" s="5"/>
      <c r="C11" s="5"/>
      <c r="E11" s="5"/>
      <c r="F11" s="5"/>
      <c r="G11" s="5"/>
      <c r="H11" s="5"/>
      <c r="I11" s="5"/>
      <c r="J11" s="5"/>
      <c r="K11" s="5"/>
      <c r="L11" s="5"/>
      <c r="M11" s="5"/>
      <c r="N11" s="5"/>
      <c r="O11" s="5"/>
      <c r="P11" s="5"/>
    </row>
    <row r="12" spans="1:16" ht="18.600000000000001" customHeight="1" x14ac:dyDescent="0.25">
      <c r="A12" s="118" t="s">
        <v>201</v>
      </c>
      <c r="B12" s="118"/>
      <c r="C12" s="118"/>
      <c r="E12" s="5"/>
      <c r="F12" s="5"/>
      <c r="G12" s="5"/>
      <c r="H12" s="5"/>
      <c r="I12" s="5"/>
      <c r="J12" s="5"/>
      <c r="K12" s="5"/>
      <c r="L12" s="5"/>
      <c r="M12" s="5"/>
      <c r="N12" s="5"/>
      <c r="O12" s="5"/>
      <c r="P12" s="5"/>
    </row>
    <row r="13" spans="1:16" ht="30" x14ac:dyDescent="0.25">
      <c r="A13" s="10" t="s">
        <v>23</v>
      </c>
      <c r="B13" s="10" t="s">
        <v>24</v>
      </c>
      <c r="C13" s="10" t="s">
        <v>39</v>
      </c>
      <c r="E13" s="5"/>
      <c r="F13" s="5"/>
      <c r="G13" s="5"/>
      <c r="H13" s="5"/>
      <c r="I13" s="5"/>
      <c r="J13" s="5"/>
      <c r="K13" s="5"/>
      <c r="L13" s="5"/>
      <c r="M13" s="5"/>
      <c r="N13" s="5"/>
      <c r="O13" s="5"/>
      <c r="P13" s="5"/>
    </row>
    <row r="14" spans="1:16" ht="30" x14ac:dyDescent="0.25">
      <c r="A14" s="17" t="s">
        <v>27</v>
      </c>
      <c r="B14" s="12" t="s">
        <v>124</v>
      </c>
      <c r="C14" s="55">
        <f>D6</f>
        <v>9333</v>
      </c>
      <c r="E14" s="5"/>
      <c r="F14" s="5"/>
      <c r="G14" s="5"/>
      <c r="H14" s="5"/>
      <c r="I14" s="5"/>
      <c r="J14" s="5"/>
      <c r="K14" s="5"/>
      <c r="L14" s="5"/>
      <c r="M14" s="5"/>
      <c r="N14" s="5"/>
      <c r="O14" s="5"/>
      <c r="P14" s="5"/>
    </row>
    <row r="15" spans="1:16" ht="30" x14ac:dyDescent="0.25">
      <c r="A15" s="17" t="s">
        <v>28</v>
      </c>
      <c r="B15" s="12" t="s">
        <v>125</v>
      </c>
      <c r="C15" s="55">
        <f>C6</f>
        <v>4135</v>
      </c>
      <c r="E15" s="5"/>
      <c r="F15" s="5"/>
      <c r="G15" s="5"/>
      <c r="H15" s="5"/>
      <c r="I15" s="5"/>
      <c r="J15" s="5"/>
      <c r="K15" s="5"/>
      <c r="L15" s="5"/>
      <c r="M15" s="5"/>
      <c r="N15" s="5"/>
      <c r="O15" s="5"/>
      <c r="P15" s="5"/>
    </row>
    <row r="16" spans="1:16" ht="30" x14ac:dyDescent="0.25">
      <c r="A16" s="17" t="s">
        <v>29</v>
      </c>
      <c r="B16" s="12" t="s">
        <v>126</v>
      </c>
      <c r="C16" s="55">
        <f>((C14-C15)/2)+C15</f>
        <v>6734</v>
      </c>
      <c r="E16" s="5"/>
      <c r="F16" s="5"/>
      <c r="G16" s="5"/>
      <c r="H16" s="5"/>
      <c r="I16" s="5"/>
      <c r="J16" s="5"/>
      <c r="K16" s="5"/>
      <c r="L16" s="5"/>
      <c r="M16" s="5"/>
      <c r="N16" s="5"/>
      <c r="O16" s="5"/>
      <c r="P16" s="5"/>
    </row>
    <row r="17" spans="1:16" x14ac:dyDescent="0.25">
      <c r="A17" s="17" t="s">
        <v>30</v>
      </c>
      <c r="B17" s="12" t="s">
        <v>127</v>
      </c>
      <c r="C17" s="56">
        <v>6750</v>
      </c>
      <c r="E17" s="5"/>
      <c r="F17" s="5"/>
      <c r="G17" s="5"/>
      <c r="H17" s="5"/>
      <c r="I17" s="5"/>
      <c r="J17" s="5"/>
      <c r="K17" s="5"/>
      <c r="L17" s="5"/>
      <c r="M17" s="5"/>
      <c r="N17" s="5"/>
      <c r="O17" s="5"/>
      <c r="P17" s="5"/>
    </row>
    <row r="18" spans="1:16" ht="30" x14ac:dyDescent="0.25">
      <c r="A18" s="17" t="s">
        <v>31</v>
      </c>
      <c r="B18" s="12" t="s">
        <v>128</v>
      </c>
      <c r="C18" s="56">
        <f>C7+1</f>
        <v>4151</v>
      </c>
      <c r="E18" s="5"/>
      <c r="F18" s="5"/>
      <c r="G18" s="5"/>
      <c r="H18" s="5"/>
      <c r="I18" s="5"/>
      <c r="J18" s="5"/>
      <c r="K18" s="5"/>
      <c r="L18" s="5"/>
      <c r="M18" s="5"/>
      <c r="N18" s="5"/>
      <c r="O18" s="5"/>
      <c r="P18" s="5"/>
    </row>
    <row r="19" spans="1:16" ht="30" x14ac:dyDescent="0.25">
      <c r="A19" s="43" t="s">
        <v>32</v>
      </c>
      <c r="B19" s="11" t="s">
        <v>245</v>
      </c>
      <c r="C19" s="59" t="s">
        <v>246</v>
      </c>
      <c r="E19" s="5"/>
      <c r="F19" s="5"/>
      <c r="G19" s="5"/>
      <c r="H19" s="5"/>
      <c r="I19" s="5"/>
      <c r="J19" s="5"/>
      <c r="K19" s="5"/>
      <c r="L19" s="5"/>
      <c r="M19" s="5"/>
      <c r="N19" s="5"/>
      <c r="O19" s="5"/>
      <c r="P19" s="5"/>
    </row>
    <row r="20" spans="1:16" x14ac:dyDescent="0.25">
      <c r="A20" s="5"/>
      <c r="B20" s="5"/>
      <c r="C20" s="5"/>
      <c r="E20" s="5"/>
      <c r="F20" s="5"/>
      <c r="G20" s="5"/>
      <c r="H20" s="5"/>
      <c r="I20" s="5"/>
      <c r="J20" s="5"/>
      <c r="K20" s="5"/>
      <c r="L20" s="5"/>
      <c r="M20" s="5"/>
      <c r="N20" s="5"/>
      <c r="O20" s="5"/>
      <c r="P20" s="5"/>
    </row>
    <row r="21" spans="1:16" ht="18" customHeight="1" x14ac:dyDescent="0.25">
      <c r="A21" s="118" t="s">
        <v>202</v>
      </c>
      <c r="B21" s="118"/>
      <c r="C21" s="118"/>
      <c r="D21" s="118"/>
      <c r="E21" s="118"/>
      <c r="F21" s="5"/>
      <c r="G21" s="5"/>
      <c r="H21" s="5"/>
      <c r="I21" s="5"/>
      <c r="J21" s="5"/>
      <c r="K21" s="5"/>
      <c r="L21" s="5"/>
      <c r="M21" s="5"/>
      <c r="N21" s="5"/>
      <c r="O21" s="5"/>
      <c r="P21" s="5"/>
    </row>
    <row r="22" spans="1:16" ht="30" x14ac:dyDescent="0.25">
      <c r="A22" s="10" t="s">
        <v>23</v>
      </c>
      <c r="B22" s="10" t="s">
        <v>24</v>
      </c>
      <c r="C22" s="10" t="s">
        <v>26</v>
      </c>
      <c r="D22" s="10" t="s">
        <v>39</v>
      </c>
      <c r="E22" s="10" t="s">
        <v>25</v>
      </c>
      <c r="F22" s="5"/>
      <c r="G22" s="5"/>
      <c r="H22" s="5"/>
      <c r="I22" s="5"/>
      <c r="J22" s="5"/>
      <c r="K22" s="5"/>
      <c r="L22" s="5"/>
      <c r="M22" s="5"/>
      <c r="N22" s="5"/>
      <c r="O22" s="5"/>
    </row>
    <row r="23" spans="1:16" ht="30" x14ac:dyDescent="0.25">
      <c r="A23" s="17" t="s">
        <v>27</v>
      </c>
      <c r="B23" s="12" t="s">
        <v>129</v>
      </c>
      <c r="C23" s="55">
        <f>C6</f>
        <v>4135</v>
      </c>
      <c r="D23" s="55">
        <f>C16</f>
        <v>6734</v>
      </c>
      <c r="E23" s="55">
        <f>D6</f>
        <v>9333</v>
      </c>
      <c r="F23" s="5"/>
      <c r="G23" s="5"/>
      <c r="H23" s="5"/>
      <c r="I23" s="5"/>
      <c r="J23" s="5"/>
      <c r="K23" s="5"/>
      <c r="L23" s="5"/>
      <c r="M23" s="5"/>
      <c r="N23" s="5"/>
      <c r="O23" s="5"/>
    </row>
    <row r="24" spans="1:16" ht="30" x14ac:dyDescent="0.25">
      <c r="A24" s="17" t="s">
        <v>28</v>
      </c>
      <c r="B24" s="12" t="s">
        <v>130</v>
      </c>
      <c r="C24" s="55">
        <f t="shared" ref="C24" si="0">C23*1.5</f>
        <v>6202.5</v>
      </c>
      <c r="D24" s="55">
        <f t="shared" ref="D24" si="1">D23*1.5</f>
        <v>10101</v>
      </c>
      <c r="E24" s="55">
        <f>E23*1.5</f>
        <v>13999.5</v>
      </c>
      <c r="F24" s="5"/>
      <c r="G24" s="5"/>
      <c r="H24" s="5"/>
      <c r="I24" s="5"/>
      <c r="J24" s="5"/>
      <c r="K24" s="5"/>
      <c r="L24" s="5"/>
      <c r="M24" s="5"/>
      <c r="N24" s="5"/>
      <c r="O24" s="5"/>
    </row>
    <row r="25" spans="1:16" ht="30" x14ac:dyDescent="0.25">
      <c r="A25" s="17" t="s">
        <v>29</v>
      </c>
      <c r="B25" s="12" t="s">
        <v>131</v>
      </c>
      <c r="C25" s="55">
        <v>6200</v>
      </c>
      <c r="D25" s="55">
        <v>10100</v>
      </c>
      <c r="E25" s="55">
        <v>14000</v>
      </c>
      <c r="F25" s="5"/>
      <c r="G25" s="5"/>
      <c r="H25" s="5"/>
      <c r="I25" s="5"/>
      <c r="J25" s="5"/>
      <c r="K25" s="5"/>
      <c r="L25" s="5"/>
      <c r="M25" s="5"/>
      <c r="N25" s="5"/>
      <c r="O25" s="5"/>
    </row>
    <row r="26" spans="1:16" ht="60" x14ac:dyDescent="0.25">
      <c r="A26" s="17" t="s">
        <v>30</v>
      </c>
      <c r="B26" s="21" t="s">
        <v>132</v>
      </c>
      <c r="C26" s="56">
        <v>0</v>
      </c>
      <c r="D26" s="56">
        <f>C7+1</f>
        <v>4151</v>
      </c>
      <c r="E26" s="56">
        <f>C17+1</f>
        <v>6751</v>
      </c>
      <c r="F26" s="5"/>
      <c r="G26" s="5"/>
      <c r="H26" s="5"/>
      <c r="I26" s="5"/>
      <c r="J26" s="5"/>
      <c r="K26" s="5"/>
      <c r="L26" s="5"/>
      <c r="M26" s="5"/>
      <c r="N26" s="5"/>
      <c r="O26" s="5"/>
    </row>
    <row r="27" spans="1:16" ht="30" x14ac:dyDescent="0.25">
      <c r="A27" s="43" t="s">
        <v>31</v>
      </c>
      <c r="B27" s="11" t="s">
        <v>248</v>
      </c>
      <c r="C27" s="59" t="s">
        <v>249</v>
      </c>
      <c r="D27" s="59" t="s">
        <v>250</v>
      </c>
      <c r="E27" s="59" t="s">
        <v>251</v>
      </c>
      <c r="F27" s="5"/>
      <c r="G27" s="5"/>
      <c r="H27" s="5"/>
      <c r="I27" s="5"/>
      <c r="J27" s="5"/>
      <c r="K27" s="5"/>
      <c r="L27" s="5"/>
      <c r="M27" s="5"/>
      <c r="N27" s="5"/>
      <c r="O27" s="5"/>
    </row>
    <row r="28" spans="1:16" x14ac:dyDescent="0.25">
      <c r="A28" s="5"/>
      <c r="B28" s="5"/>
      <c r="C28" s="5"/>
      <c r="E28" s="5"/>
      <c r="F28" s="5"/>
      <c r="G28" s="5"/>
      <c r="H28" s="5"/>
      <c r="I28" s="5"/>
      <c r="J28" s="5"/>
      <c r="K28" s="5"/>
      <c r="L28" s="5"/>
      <c r="M28" s="5"/>
      <c r="N28" s="5"/>
      <c r="O28" s="5"/>
      <c r="P28" s="5"/>
    </row>
    <row r="29" spans="1:16" ht="18.600000000000001" customHeight="1" x14ac:dyDescent="0.25">
      <c r="A29" s="118" t="s">
        <v>203</v>
      </c>
      <c r="B29" s="118"/>
      <c r="C29" s="118"/>
      <c r="D29" s="118"/>
      <c r="E29" s="118"/>
      <c r="F29" s="5"/>
      <c r="G29" s="5"/>
      <c r="H29" s="5"/>
      <c r="I29" s="5"/>
      <c r="J29" s="5"/>
      <c r="K29" s="5"/>
      <c r="L29" s="5"/>
      <c r="M29" s="5"/>
      <c r="N29" s="5"/>
      <c r="O29" s="5"/>
      <c r="P29" s="5"/>
    </row>
    <row r="30" spans="1:16" ht="30" x14ac:dyDescent="0.25">
      <c r="A30" s="10" t="s">
        <v>23</v>
      </c>
      <c r="B30" s="10" t="s">
        <v>24</v>
      </c>
      <c r="C30" s="10" t="s">
        <v>26</v>
      </c>
      <c r="D30" s="10" t="s">
        <v>39</v>
      </c>
      <c r="E30" s="10" t="s">
        <v>25</v>
      </c>
      <c r="F30" s="5"/>
      <c r="G30" s="5"/>
      <c r="H30" s="5"/>
      <c r="I30" s="5"/>
      <c r="J30" s="5"/>
      <c r="K30" s="5"/>
      <c r="L30" s="5"/>
      <c r="M30" s="5"/>
      <c r="N30" s="5"/>
      <c r="O30" s="5"/>
    </row>
    <row r="31" spans="1:16" x14ac:dyDescent="0.25">
      <c r="A31" s="17" t="s">
        <v>27</v>
      </c>
      <c r="B31" s="12" t="s">
        <v>41</v>
      </c>
      <c r="C31" s="63">
        <v>3450</v>
      </c>
      <c r="D31" s="64" t="s">
        <v>1</v>
      </c>
      <c r="E31" s="63">
        <v>7550</v>
      </c>
      <c r="F31" s="5"/>
      <c r="G31" s="5"/>
      <c r="H31" s="5"/>
      <c r="I31" s="5"/>
      <c r="J31" s="5"/>
      <c r="K31" s="5"/>
      <c r="L31" s="5"/>
      <c r="M31" s="5"/>
      <c r="N31" s="5"/>
      <c r="O31" s="5"/>
    </row>
    <row r="32" spans="1:16" x14ac:dyDescent="0.25">
      <c r="A32" s="17" t="s">
        <v>28</v>
      </c>
      <c r="B32" s="12" t="s">
        <v>43</v>
      </c>
      <c r="C32" s="63">
        <v>3650</v>
      </c>
      <c r="D32" s="55">
        <v>6000</v>
      </c>
      <c r="E32" s="63">
        <v>8300</v>
      </c>
      <c r="F32" s="5"/>
      <c r="G32" s="5"/>
      <c r="H32" s="5"/>
      <c r="I32" s="5"/>
      <c r="J32" s="5"/>
      <c r="K32" s="5"/>
      <c r="L32" s="5"/>
      <c r="M32" s="5"/>
      <c r="N32" s="5"/>
      <c r="O32" s="5"/>
    </row>
    <row r="33" spans="1:16" x14ac:dyDescent="0.25">
      <c r="A33" s="17" t="s">
        <v>29</v>
      </c>
      <c r="B33" s="12" t="s">
        <v>44</v>
      </c>
      <c r="C33" s="63">
        <v>3850</v>
      </c>
      <c r="D33" s="55">
        <v>6350</v>
      </c>
      <c r="E33" s="63">
        <v>8850</v>
      </c>
      <c r="F33" s="5"/>
      <c r="G33" s="5"/>
      <c r="H33" s="5"/>
      <c r="I33" s="5"/>
      <c r="J33" s="5"/>
      <c r="K33" s="5"/>
      <c r="L33" s="5"/>
      <c r="M33" s="5"/>
      <c r="N33" s="5"/>
      <c r="O33" s="5"/>
    </row>
    <row r="34" spans="1:16" x14ac:dyDescent="0.25">
      <c r="A34" s="18" t="s">
        <v>30</v>
      </c>
      <c r="B34" s="20" t="s">
        <v>106</v>
      </c>
      <c r="C34" s="65">
        <f>C7</f>
        <v>4150</v>
      </c>
      <c r="D34" s="65">
        <f>C17</f>
        <v>6750</v>
      </c>
      <c r="E34" s="65">
        <f>D7</f>
        <v>9350</v>
      </c>
    </row>
    <row r="36" spans="1:16" ht="18.600000000000001" customHeight="1" x14ac:dyDescent="0.25">
      <c r="A36" s="118" t="s">
        <v>204</v>
      </c>
      <c r="B36" s="118"/>
      <c r="C36" s="118"/>
      <c r="D36" s="118"/>
      <c r="E36" s="118"/>
      <c r="F36" s="5"/>
      <c r="G36" s="5"/>
      <c r="H36" s="5"/>
      <c r="I36" s="5"/>
      <c r="J36" s="5"/>
      <c r="K36" s="5"/>
      <c r="L36" s="5"/>
      <c r="M36" s="5"/>
      <c r="N36" s="5"/>
      <c r="O36" s="5"/>
      <c r="P36" s="5"/>
    </row>
    <row r="37" spans="1:16" ht="30" x14ac:dyDescent="0.25">
      <c r="A37" s="10" t="s">
        <v>23</v>
      </c>
      <c r="B37" s="10" t="s">
        <v>24</v>
      </c>
      <c r="C37" s="10" t="s">
        <v>26</v>
      </c>
      <c r="D37" s="10" t="s">
        <v>39</v>
      </c>
      <c r="E37" s="10" t="s">
        <v>25</v>
      </c>
      <c r="F37" s="5"/>
      <c r="G37" s="5"/>
      <c r="H37" s="5"/>
      <c r="I37" s="5"/>
      <c r="J37" s="5"/>
      <c r="K37" s="5"/>
      <c r="L37" s="5"/>
      <c r="M37" s="5"/>
      <c r="N37" s="5"/>
      <c r="O37" s="5"/>
    </row>
    <row r="38" spans="1:16" x14ac:dyDescent="0.25">
      <c r="A38" s="17" t="s">
        <v>27</v>
      </c>
      <c r="B38" s="12" t="s">
        <v>40</v>
      </c>
      <c r="C38" s="60">
        <f t="shared" ref="C38" si="2">(C32-C31)/C31</f>
        <v>5.7971014492753624E-2</v>
      </c>
      <c r="D38" s="61" t="s">
        <v>1</v>
      </c>
      <c r="E38" s="60">
        <f t="shared" ref="E38:E40" si="3">(E32-E31)/E31</f>
        <v>9.9337748344370855E-2</v>
      </c>
      <c r="F38" s="5"/>
      <c r="G38" s="5"/>
      <c r="H38" s="5"/>
      <c r="I38" s="5"/>
      <c r="J38" s="5"/>
      <c r="K38" s="5"/>
      <c r="L38" s="5"/>
      <c r="M38" s="5"/>
      <c r="N38" s="5"/>
      <c r="O38" s="5"/>
    </row>
    <row r="39" spans="1:16" x14ac:dyDescent="0.25">
      <c r="A39" s="17" t="s">
        <v>28</v>
      </c>
      <c r="B39" s="21" t="s">
        <v>42</v>
      </c>
      <c r="C39" s="60">
        <f>(C33-C32)/C32</f>
        <v>5.4794520547945202E-2</v>
      </c>
      <c r="D39" s="60">
        <f t="shared" ref="D39:D40" si="4">(D33-D32)/D32</f>
        <v>5.8333333333333334E-2</v>
      </c>
      <c r="E39" s="60">
        <f t="shared" si="3"/>
        <v>6.6265060240963861E-2</v>
      </c>
    </row>
    <row r="40" spans="1:16" x14ac:dyDescent="0.25">
      <c r="A40" s="18" t="s">
        <v>29</v>
      </c>
      <c r="B40" s="20" t="s">
        <v>107</v>
      </c>
      <c r="C40" s="62">
        <f>(C34-C33)/C33</f>
        <v>7.792207792207792E-2</v>
      </c>
      <c r="D40" s="62">
        <f t="shared" si="4"/>
        <v>6.2992125984251968E-2</v>
      </c>
      <c r="E40" s="62">
        <f t="shared" si="3"/>
        <v>5.6497175141242938E-2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DDFFC-4009-4055-8674-4CC5FBAF8DA6}">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41.45" customHeight="1" x14ac:dyDescent="0.25">
      <c r="A1" s="142" t="s">
        <v>170</v>
      </c>
      <c r="B1" s="143"/>
    </row>
    <row r="2" spans="1:5" ht="30" x14ac:dyDescent="0.25">
      <c r="A2" s="102" t="s">
        <v>21</v>
      </c>
      <c r="B2" s="98" t="s">
        <v>89</v>
      </c>
    </row>
    <row r="3" spans="1:5" x14ac:dyDescent="0.25">
      <c r="A3" s="169" t="s">
        <v>88</v>
      </c>
      <c r="B3" s="170">
        <v>113</v>
      </c>
    </row>
    <row r="4" spans="1:5" ht="30" x14ac:dyDescent="0.25">
      <c r="A4" s="169" t="s">
        <v>19</v>
      </c>
      <c r="B4" s="170">
        <v>134</v>
      </c>
    </row>
    <row r="7" spans="1:5" ht="18.75" x14ac:dyDescent="0.25">
      <c r="A7" s="134" t="s">
        <v>218</v>
      </c>
      <c r="B7" s="135"/>
      <c r="C7" s="135"/>
      <c r="D7" s="135"/>
      <c r="E7" s="135"/>
    </row>
    <row r="8" spans="1:5" ht="18.75" x14ac:dyDescent="0.25">
      <c r="A8" s="90" t="s">
        <v>23</v>
      </c>
      <c r="B8" s="90" t="s">
        <v>24</v>
      </c>
      <c r="C8" s="90" t="s">
        <v>4</v>
      </c>
      <c r="D8" s="90" t="s">
        <v>3</v>
      </c>
      <c r="E8" s="90" t="s">
        <v>2</v>
      </c>
    </row>
    <row r="9" spans="1:5" ht="15.75" x14ac:dyDescent="0.25">
      <c r="A9" s="113" t="s">
        <v>68</v>
      </c>
      <c r="B9" s="114"/>
      <c r="C9" s="115"/>
      <c r="D9" s="115"/>
      <c r="E9" s="116"/>
    </row>
    <row r="10" spans="1:5" ht="17.25" x14ac:dyDescent="0.25">
      <c r="A10" s="91" t="s">
        <v>27</v>
      </c>
      <c r="B10" s="92" t="s">
        <v>155</v>
      </c>
      <c r="C10" s="136">
        <f>B4</f>
        <v>134</v>
      </c>
      <c r="D10" s="136"/>
      <c r="E10" s="136"/>
    </row>
    <row r="11" spans="1:5" x14ac:dyDescent="0.25">
      <c r="A11" s="91" t="s">
        <v>28</v>
      </c>
      <c r="B11" s="92" t="s">
        <v>156</v>
      </c>
      <c r="C11" s="31">
        <v>0.5</v>
      </c>
      <c r="D11" s="31">
        <v>0.42</v>
      </c>
      <c r="E11" s="31">
        <v>0.35</v>
      </c>
    </row>
    <row r="12" spans="1:5" ht="30" x14ac:dyDescent="0.25">
      <c r="A12" s="91" t="s">
        <v>29</v>
      </c>
      <c r="B12" s="92" t="s">
        <v>157</v>
      </c>
      <c r="C12" s="32">
        <f>C10*C11</f>
        <v>67</v>
      </c>
      <c r="D12" s="32">
        <f>C10*D11</f>
        <v>56.28</v>
      </c>
      <c r="E12" s="32">
        <f>C10*E11</f>
        <v>46.9</v>
      </c>
    </row>
    <row r="13" spans="1:5" ht="30" x14ac:dyDescent="0.25">
      <c r="A13" s="91" t="s">
        <v>30</v>
      </c>
      <c r="B13" s="92" t="s">
        <v>158</v>
      </c>
      <c r="C13" s="32">
        <v>65</v>
      </c>
      <c r="D13" s="32">
        <v>55</v>
      </c>
      <c r="E13" s="32">
        <v>45</v>
      </c>
    </row>
    <row r="14" spans="1:5" ht="15.75" x14ac:dyDescent="0.25">
      <c r="A14" s="113" t="s">
        <v>67</v>
      </c>
      <c r="B14" s="114"/>
      <c r="C14" s="115"/>
      <c r="D14" s="115"/>
      <c r="E14" s="116"/>
    </row>
    <row r="15" spans="1:5" x14ac:dyDescent="0.25">
      <c r="A15" s="93" t="s">
        <v>31</v>
      </c>
      <c r="B15" s="94" t="s">
        <v>159</v>
      </c>
      <c r="C15" s="34">
        <v>65</v>
      </c>
      <c r="D15" s="33" t="s">
        <v>1</v>
      </c>
      <c r="E15" s="34">
        <v>65</v>
      </c>
    </row>
    <row r="16" spans="1:5" x14ac:dyDescent="0.25">
      <c r="A16" s="91" t="s">
        <v>32</v>
      </c>
      <c r="B16" s="92" t="s">
        <v>160</v>
      </c>
      <c r="C16" s="31">
        <v>0.5</v>
      </c>
      <c r="D16" s="31">
        <v>0.4</v>
      </c>
      <c r="E16" s="31">
        <v>0.3</v>
      </c>
    </row>
    <row r="17" spans="1:5" ht="30" x14ac:dyDescent="0.25">
      <c r="A17" s="91" t="s">
        <v>33</v>
      </c>
      <c r="B17" s="92" t="s">
        <v>161</v>
      </c>
      <c r="C17" s="32">
        <f>C10*C16</f>
        <v>67</v>
      </c>
      <c r="D17" s="32">
        <f>C10*D16</f>
        <v>53.6</v>
      </c>
      <c r="E17" s="32">
        <f>C10*E16</f>
        <v>40.199999999999996</v>
      </c>
    </row>
    <row r="18" spans="1:5" ht="32.25" x14ac:dyDescent="0.25">
      <c r="A18" s="91" t="s">
        <v>34</v>
      </c>
      <c r="B18" s="92" t="s">
        <v>55</v>
      </c>
      <c r="C18" s="32">
        <f>C17-C15</f>
        <v>2</v>
      </c>
      <c r="D18" s="32">
        <f>D17-E15</f>
        <v>-11.399999999999999</v>
      </c>
      <c r="E18" s="32">
        <f>E17-E15</f>
        <v>-24.800000000000004</v>
      </c>
    </row>
    <row r="19" spans="1:5" ht="30" x14ac:dyDescent="0.25">
      <c r="A19" s="91" t="s">
        <v>35</v>
      </c>
      <c r="B19" s="92" t="s">
        <v>153</v>
      </c>
      <c r="C19" s="32">
        <f>TRUNC((C18*0.75),2)</f>
        <v>1.5</v>
      </c>
      <c r="D19" s="32">
        <f t="shared" ref="D19:E19" si="0">TRUNC((D18*0.75),2)</f>
        <v>-8.5500000000000007</v>
      </c>
      <c r="E19" s="32">
        <f t="shared" si="0"/>
        <v>-18.600000000000001</v>
      </c>
    </row>
    <row r="20" spans="1:5" ht="32.25" x14ac:dyDescent="0.25">
      <c r="A20" s="91" t="s">
        <v>36</v>
      </c>
      <c r="B20" s="92" t="s">
        <v>162</v>
      </c>
      <c r="C20" s="32">
        <f>C15+C19</f>
        <v>66.5</v>
      </c>
      <c r="D20" s="32">
        <f>E15+D19</f>
        <v>56.45</v>
      </c>
      <c r="E20" s="32">
        <f>E15+E19</f>
        <v>46.4</v>
      </c>
    </row>
    <row r="21" spans="1:5" ht="45" x14ac:dyDescent="0.25">
      <c r="A21" s="91" t="s">
        <v>37</v>
      </c>
      <c r="B21" s="92" t="s">
        <v>163</v>
      </c>
      <c r="C21" s="32">
        <v>65</v>
      </c>
      <c r="D21" s="32">
        <v>55</v>
      </c>
      <c r="E21" s="32">
        <v>45</v>
      </c>
    </row>
    <row r="22" spans="1:5" ht="15.75" x14ac:dyDescent="0.25">
      <c r="A22" s="113" t="s">
        <v>66</v>
      </c>
      <c r="B22" s="114"/>
      <c r="C22" s="115"/>
      <c r="D22" s="115"/>
      <c r="E22" s="116"/>
    </row>
    <row r="23" spans="1:5" ht="30" x14ac:dyDescent="0.25">
      <c r="A23" s="95" t="s">
        <v>38</v>
      </c>
      <c r="B23" s="96" t="s">
        <v>164</v>
      </c>
      <c r="C23" s="49">
        <f>MIN(C13,C21)</f>
        <v>65</v>
      </c>
      <c r="D23" s="49">
        <f t="shared" ref="D23:E23" si="1">MIN(D13,D21)</f>
        <v>55</v>
      </c>
      <c r="E23" s="49">
        <f t="shared" si="1"/>
        <v>45</v>
      </c>
    </row>
    <row r="24" spans="1:5" ht="63.95" customHeight="1" x14ac:dyDescent="0.25">
      <c r="A24" s="137" t="s">
        <v>238</v>
      </c>
      <c r="B24" s="137"/>
      <c r="C24" s="137"/>
      <c r="D24" s="137"/>
      <c r="E24" s="137"/>
    </row>
    <row r="25" spans="1:5" ht="19.5" customHeight="1" x14ac:dyDescent="0.25">
      <c r="A25" s="138" t="s">
        <v>98</v>
      </c>
      <c r="B25" s="138"/>
      <c r="C25" s="138"/>
      <c r="D25" s="138"/>
      <c r="E25" s="138"/>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1428A-E499-47D8-86F2-82FC9276636F}">
  <dimension ref="A1:E20"/>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34" t="s">
        <v>219</v>
      </c>
      <c r="B1" s="135"/>
      <c r="C1" s="135"/>
      <c r="D1" s="135"/>
      <c r="E1" s="135"/>
    </row>
    <row r="2" spans="1:5" ht="18.75" x14ac:dyDescent="0.25">
      <c r="A2" s="90" t="s">
        <v>23</v>
      </c>
      <c r="B2" s="90" t="s">
        <v>24</v>
      </c>
      <c r="C2" s="90" t="s">
        <v>4</v>
      </c>
      <c r="D2" s="90" t="s">
        <v>3</v>
      </c>
      <c r="E2" s="90" t="s">
        <v>2</v>
      </c>
    </row>
    <row r="3" spans="1:5" ht="15.75" x14ac:dyDescent="0.25">
      <c r="A3" s="113" t="s">
        <v>68</v>
      </c>
      <c r="B3" s="114"/>
      <c r="C3" s="115"/>
      <c r="D3" s="115"/>
      <c r="E3" s="116"/>
    </row>
    <row r="4" spans="1:5" ht="17.25" x14ac:dyDescent="0.25">
      <c r="A4" s="91" t="s">
        <v>27</v>
      </c>
      <c r="B4" s="99" t="s">
        <v>171</v>
      </c>
      <c r="C4" s="136">
        <v>305</v>
      </c>
      <c r="D4" s="136"/>
      <c r="E4" s="136"/>
    </row>
    <row r="5" spans="1:5" x14ac:dyDescent="0.25">
      <c r="A5" s="91" t="s">
        <v>28</v>
      </c>
      <c r="B5" s="92" t="s">
        <v>156</v>
      </c>
      <c r="C5" s="31">
        <v>0.5</v>
      </c>
      <c r="D5" s="31">
        <v>0.42</v>
      </c>
      <c r="E5" s="31">
        <v>0.35</v>
      </c>
    </row>
    <row r="6" spans="1:5" ht="30" x14ac:dyDescent="0.25">
      <c r="A6" s="91" t="s">
        <v>29</v>
      </c>
      <c r="B6" s="92" t="s">
        <v>157</v>
      </c>
      <c r="C6" s="32">
        <f>C4*C5</f>
        <v>152.5</v>
      </c>
      <c r="D6" s="32">
        <f>C4*D5</f>
        <v>128.1</v>
      </c>
      <c r="E6" s="32">
        <f>C4*E5</f>
        <v>106.75</v>
      </c>
    </row>
    <row r="7" spans="1:5" ht="30" x14ac:dyDescent="0.25">
      <c r="A7" s="91" t="s">
        <v>30</v>
      </c>
      <c r="B7" s="92" t="s">
        <v>158</v>
      </c>
      <c r="C7" s="32">
        <v>150</v>
      </c>
      <c r="D7" s="32">
        <v>130</v>
      </c>
      <c r="E7" s="32">
        <v>105</v>
      </c>
    </row>
    <row r="8" spans="1:5" ht="15.75" x14ac:dyDescent="0.25">
      <c r="A8" s="113" t="s">
        <v>67</v>
      </c>
      <c r="B8" s="114"/>
      <c r="C8" s="115"/>
      <c r="D8" s="115"/>
      <c r="E8" s="116"/>
    </row>
    <row r="9" spans="1:5" x14ac:dyDescent="0.25">
      <c r="A9" s="93" t="s">
        <v>31</v>
      </c>
      <c r="B9" s="94" t="s">
        <v>159</v>
      </c>
      <c r="C9" s="34">
        <v>55</v>
      </c>
      <c r="D9" s="33" t="s">
        <v>1</v>
      </c>
      <c r="E9" s="34">
        <v>55</v>
      </c>
    </row>
    <row r="10" spans="1:5" x14ac:dyDescent="0.25">
      <c r="A10" s="91" t="s">
        <v>32</v>
      </c>
      <c r="B10" s="92" t="s">
        <v>160</v>
      </c>
      <c r="C10" s="31">
        <v>0.5</v>
      </c>
      <c r="D10" s="31">
        <v>0.4</v>
      </c>
      <c r="E10" s="31">
        <v>0.3</v>
      </c>
    </row>
    <row r="11" spans="1:5" ht="30" x14ac:dyDescent="0.25">
      <c r="A11" s="91" t="s">
        <v>33</v>
      </c>
      <c r="B11" s="92" t="s">
        <v>161</v>
      </c>
      <c r="C11" s="32">
        <f>C4*C10</f>
        <v>152.5</v>
      </c>
      <c r="D11" s="32">
        <f>C4*D10</f>
        <v>122</v>
      </c>
      <c r="E11" s="32">
        <f>C4*E10</f>
        <v>91.5</v>
      </c>
    </row>
    <row r="12" spans="1:5" ht="32.25" x14ac:dyDescent="0.25">
      <c r="A12" s="91" t="s">
        <v>34</v>
      </c>
      <c r="B12" s="92" t="s">
        <v>55</v>
      </c>
      <c r="C12" s="32">
        <f>C11-C9</f>
        <v>97.5</v>
      </c>
      <c r="D12" s="32">
        <f>D11-E9</f>
        <v>67</v>
      </c>
      <c r="E12" s="32">
        <f>E11-E9</f>
        <v>36.5</v>
      </c>
    </row>
    <row r="13" spans="1:5" ht="30" x14ac:dyDescent="0.25">
      <c r="A13" s="91" t="s">
        <v>35</v>
      </c>
      <c r="B13" s="92" t="s">
        <v>153</v>
      </c>
      <c r="C13" s="32">
        <f>TRUNC((C12*0.75),2)</f>
        <v>73.12</v>
      </c>
      <c r="D13" s="32">
        <f t="shared" ref="D13:E13" si="0">TRUNC((D12*0.75),2)</f>
        <v>50.25</v>
      </c>
      <c r="E13" s="32">
        <f t="shared" si="0"/>
        <v>27.37</v>
      </c>
    </row>
    <row r="14" spans="1:5" ht="32.25" x14ac:dyDescent="0.25">
      <c r="A14" s="91" t="s">
        <v>36</v>
      </c>
      <c r="B14" s="92" t="s">
        <v>162</v>
      </c>
      <c r="C14" s="32">
        <f>C9+C13</f>
        <v>128.12</v>
      </c>
      <c r="D14" s="32">
        <f>E9+D13</f>
        <v>105.25</v>
      </c>
      <c r="E14" s="32">
        <f>E9+E13</f>
        <v>82.37</v>
      </c>
    </row>
    <row r="15" spans="1:5" ht="45" x14ac:dyDescent="0.25">
      <c r="A15" s="91" t="s">
        <v>37</v>
      </c>
      <c r="B15" s="92" t="s">
        <v>163</v>
      </c>
      <c r="C15" s="32">
        <v>130</v>
      </c>
      <c r="D15" s="32">
        <v>105</v>
      </c>
      <c r="E15" s="32">
        <v>80</v>
      </c>
    </row>
    <row r="16" spans="1:5" ht="15.75" x14ac:dyDescent="0.25">
      <c r="A16" s="113" t="s">
        <v>66</v>
      </c>
      <c r="B16" s="114"/>
      <c r="C16" s="115"/>
      <c r="D16" s="115"/>
      <c r="E16" s="116"/>
    </row>
    <row r="17" spans="1:5" ht="32.25" x14ac:dyDescent="0.25">
      <c r="A17" s="95" t="s">
        <v>38</v>
      </c>
      <c r="B17" s="96" t="s">
        <v>254</v>
      </c>
      <c r="C17" s="49">
        <f>MIN(C7,C15)</f>
        <v>130</v>
      </c>
      <c r="D17" s="49">
        <f t="shared" ref="D17:E17" si="1">MIN(D7,D15)</f>
        <v>105</v>
      </c>
      <c r="E17" s="49">
        <f t="shared" si="1"/>
        <v>80</v>
      </c>
    </row>
    <row r="18" spans="1:5" ht="78" customHeight="1" x14ac:dyDescent="0.25">
      <c r="A18" s="161" t="s">
        <v>253</v>
      </c>
      <c r="B18" s="161"/>
      <c r="C18" s="161"/>
      <c r="D18" s="161"/>
      <c r="E18" s="161"/>
    </row>
    <row r="19" spans="1:5" ht="17.25" customHeight="1" x14ac:dyDescent="0.25">
      <c r="A19" s="138" t="s">
        <v>98</v>
      </c>
      <c r="B19" s="138"/>
      <c r="C19" s="138"/>
      <c r="D19" s="138"/>
      <c r="E19" s="138"/>
    </row>
    <row r="20" spans="1:5" ht="32.450000000000003" customHeight="1" x14ac:dyDescent="0.25">
      <c r="A20" s="196" t="s">
        <v>255</v>
      </c>
      <c r="B20" s="196"/>
      <c r="C20" s="196"/>
      <c r="D20" s="196"/>
      <c r="E20" s="196"/>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B458C-5FBA-4B30-826D-620B69850F70}">
  <dimension ref="A1:C18"/>
  <sheetViews>
    <sheetView zoomScaleNormal="100" workbookViewId="0"/>
  </sheetViews>
  <sheetFormatPr defaultRowHeight="15" x14ac:dyDescent="0.25"/>
  <cols>
    <col min="1" max="1" width="17.140625" bestFit="1" customWidth="1"/>
    <col min="2" max="2" width="89.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144" t="s">
        <v>220</v>
      </c>
      <c r="B1" s="145"/>
      <c r="C1" s="146"/>
    </row>
    <row r="2" spans="1:3" ht="21" x14ac:dyDescent="0.25">
      <c r="A2" s="90" t="s">
        <v>23</v>
      </c>
      <c r="B2" s="90" t="s">
        <v>24</v>
      </c>
      <c r="C2" s="100" t="s">
        <v>57</v>
      </c>
    </row>
    <row r="3" spans="1:3" ht="15.75" x14ac:dyDescent="0.25">
      <c r="A3" s="114" t="s">
        <v>68</v>
      </c>
      <c r="B3" s="115"/>
      <c r="C3" s="147"/>
    </row>
    <row r="4" spans="1:3" ht="17.25" x14ac:dyDescent="0.25">
      <c r="A4" s="91" t="s">
        <v>27</v>
      </c>
      <c r="B4" s="99" t="s">
        <v>172</v>
      </c>
      <c r="C4" s="171">
        <v>290</v>
      </c>
    </row>
    <row r="5" spans="1:3" x14ac:dyDescent="0.25">
      <c r="A5" s="91" t="s">
        <v>28</v>
      </c>
      <c r="B5" s="92" t="s">
        <v>173</v>
      </c>
      <c r="C5" s="31">
        <v>0.2</v>
      </c>
    </row>
    <row r="6" spans="1:3" ht="30" x14ac:dyDescent="0.25">
      <c r="A6" s="91" t="s">
        <v>29</v>
      </c>
      <c r="B6" s="92" t="s">
        <v>174</v>
      </c>
      <c r="C6" s="32">
        <f>C4*C5</f>
        <v>58</v>
      </c>
    </row>
    <row r="7" spans="1:3" ht="30" x14ac:dyDescent="0.25">
      <c r="A7" s="91" t="s">
        <v>30</v>
      </c>
      <c r="B7" s="92" t="s">
        <v>175</v>
      </c>
      <c r="C7" s="32">
        <v>60</v>
      </c>
    </row>
    <row r="8" spans="1:3" ht="15.75" x14ac:dyDescent="0.25">
      <c r="A8" s="114" t="s">
        <v>67</v>
      </c>
      <c r="B8" s="115"/>
      <c r="C8" s="147"/>
    </row>
    <row r="9" spans="1:3" x14ac:dyDescent="0.25">
      <c r="A9" s="93" t="s">
        <v>31</v>
      </c>
      <c r="B9" s="94" t="s">
        <v>159</v>
      </c>
      <c r="C9" s="34">
        <v>35</v>
      </c>
    </row>
    <row r="10" spans="1:3" ht="17.100000000000001" customHeight="1" x14ac:dyDescent="0.25">
      <c r="A10" s="91" t="s">
        <v>32</v>
      </c>
      <c r="B10" s="92" t="s">
        <v>58</v>
      </c>
      <c r="C10" s="32">
        <f>C6-C9</f>
        <v>23</v>
      </c>
    </row>
    <row r="11" spans="1:3" ht="30" x14ac:dyDescent="0.25">
      <c r="A11" s="91" t="s">
        <v>33</v>
      </c>
      <c r="B11" s="99" t="s">
        <v>176</v>
      </c>
      <c r="C11" s="32">
        <f>TRUNC((C10*0.75),2)</f>
        <v>17.25</v>
      </c>
    </row>
    <row r="12" spans="1:3" ht="30" x14ac:dyDescent="0.25">
      <c r="A12" s="91" t="s">
        <v>34</v>
      </c>
      <c r="B12" s="92" t="s">
        <v>177</v>
      </c>
      <c r="C12" s="32">
        <f>C9+C11</f>
        <v>52.25</v>
      </c>
    </row>
    <row r="13" spans="1:3" ht="30" x14ac:dyDescent="0.25">
      <c r="A13" s="91" t="s">
        <v>35</v>
      </c>
      <c r="B13" s="92" t="s">
        <v>178</v>
      </c>
      <c r="C13" s="32">
        <v>50</v>
      </c>
    </row>
    <row r="14" spans="1:3" ht="15.75" x14ac:dyDescent="0.25">
      <c r="A14" s="114" t="s">
        <v>66</v>
      </c>
      <c r="B14" s="115"/>
      <c r="C14" s="147"/>
    </row>
    <row r="15" spans="1:3" ht="30" x14ac:dyDescent="0.25">
      <c r="A15" s="95" t="s">
        <v>36</v>
      </c>
      <c r="B15" s="96" t="s">
        <v>179</v>
      </c>
      <c r="C15" s="49">
        <f>MIN(C7,C13)</f>
        <v>50</v>
      </c>
    </row>
    <row r="16" spans="1:3" ht="48.75" customHeight="1" x14ac:dyDescent="0.25">
      <c r="A16" s="137" t="s">
        <v>56</v>
      </c>
      <c r="B16" s="137"/>
      <c r="C16" s="137"/>
    </row>
    <row r="17" spans="1:3" ht="79.5" customHeight="1" x14ac:dyDescent="0.25">
      <c r="A17" s="172" t="s">
        <v>239</v>
      </c>
      <c r="B17" s="172"/>
      <c r="C17" s="172"/>
    </row>
    <row r="18" spans="1:3" x14ac:dyDescent="0.25">
      <c r="A18" s="1"/>
      <c r="B18" s="1"/>
      <c r="C18"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0131E-8820-454A-A12D-21DE5F2D6018}">
  <dimension ref="A1:E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180</v>
      </c>
      <c r="B1" s="149"/>
      <c r="C1" s="149"/>
      <c r="D1" s="149"/>
      <c r="E1" s="150"/>
    </row>
    <row r="2" spans="1:5" ht="56.25" x14ac:dyDescent="0.25">
      <c r="A2" s="35" t="s">
        <v>22</v>
      </c>
      <c r="B2" s="36" t="s">
        <v>60</v>
      </c>
      <c r="C2" s="35" t="s">
        <v>61</v>
      </c>
      <c r="D2" s="37" t="s">
        <v>62</v>
      </c>
      <c r="E2" s="37" t="s">
        <v>59</v>
      </c>
    </row>
    <row r="3" spans="1:5" x14ac:dyDescent="0.25">
      <c r="A3" s="94" t="s">
        <v>5</v>
      </c>
      <c r="B3" s="173">
        <v>126</v>
      </c>
      <c r="C3" s="174">
        <v>22782405</v>
      </c>
      <c r="D3" s="197">
        <f>(C3/C7)</f>
        <v>0.4847429847189948</v>
      </c>
      <c r="E3" s="175">
        <f>B3*D3</f>
        <v>61.077616074593344</v>
      </c>
    </row>
    <row r="4" spans="1:5" x14ac:dyDescent="0.25">
      <c r="A4" s="92" t="s">
        <v>6</v>
      </c>
      <c r="B4" s="176">
        <v>148</v>
      </c>
      <c r="C4" s="177">
        <v>961505</v>
      </c>
      <c r="D4" s="198">
        <f>(C4/C7)</f>
        <v>2.0458015890870044E-2</v>
      </c>
      <c r="E4" s="178">
        <f>B4*D4</f>
        <v>3.0277863518487664</v>
      </c>
    </row>
    <row r="5" spans="1:5" x14ac:dyDescent="0.25">
      <c r="A5" s="92" t="s">
        <v>7</v>
      </c>
      <c r="B5" s="176">
        <v>136</v>
      </c>
      <c r="C5" s="177">
        <v>22864544</v>
      </c>
      <c r="D5" s="198">
        <f>(C5/C7)</f>
        <v>0.4864906625441337</v>
      </c>
      <c r="E5" s="178">
        <f>B5*D5</f>
        <v>66.162730106002186</v>
      </c>
    </row>
    <row r="6" spans="1:5" ht="30" x14ac:dyDescent="0.25">
      <c r="A6" s="179" t="s">
        <v>8</v>
      </c>
      <c r="B6" s="180">
        <v>136</v>
      </c>
      <c r="C6" s="181">
        <v>390483</v>
      </c>
      <c r="D6" s="199">
        <f>C6/C7</f>
        <v>8.3083368460014316E-3</v>
      </c>
      <c r="E6" s="178">
        <f>B6*D6</f>
        <v>1.1299338110561947</v>
      </c>
    </row>
    <row r="7" spans="1:5" ht="30" x14ac:dyDescent="0.25">
      <c r="A7" s="104" t="s">
        <v>63</v>
      </c>
      <c r="B7" s="182"/>
      <c r="C7" s="183">
        <f>SUM(C3:C6)</f>
        <v>46998937</v>
      </c>
      <c r="D7" s="200">
        <f>SUM(D3:D6)</f>
        <v>0.99999999999999989</v>
      </c>
      <c r="E7" s="184">
        <f>SUM(E3:E6)</f>
        <v>131.39806634350049</v>
      </c>
    </row>
    <row r="10" spans="1:5" ht="18.75" x14ac:dyDescent="0.25">
      <c r="A10" s="144" t="s">
        <v>221</v>
      </c>
      <c r="B10" s="145"/>
      <c r="C10" s="145"/>
      <c r="D10" s="145"/>
      <c r="E10" s="146"/>
    </row>
    <row r="11" spans="1:5" ht="18.75" x14ac:dyDescent="0.25">
      <c r="A11" s="90" t="s">
        <v>23</v>
      </c>
      <c r="B11" s="90" t="s">
        <v>24</v>
      </c>
      <c r="C11" s="90" t="s">
        <v>4</v>
      </c>
      <c r="D11" s="90" t="s">
        <v>3</v>
      </c>
      <c r="E11" s="90" t="s">
        <v>2</v>
      </c>
    </row>
    <row r="12" spans="1:5" ht="15.75" x14ac:dyDescent="0.25">
      <c r="A12" s="113" t="s">
        <v>68</v>
      </c>
      <c r="B12" s="114"/>
      <c r="C12" s="115"/>
      <c r="D12" s="115"/>
      <c r="E12" s="116"/>
    </row>
    <row r="13" spans="1:5" ht="17.25" x14ac:dyDescent="0.25">
      <c r="A13" s="91" t="s">
        <v>27</v>
      </c>
      <c r="B13" s="99" t="s">
        <v>168</v>
      </c>
      <c r="C13" s="136">
        <f>E7</f>
        <v>131.39806634350049</v>
      </c>
      <c r="D13" s="136"/>
      <c r="E13" s="136"/>
    </row>
    <row r="14" spans="1:5" x14ac:dyDescent="0.25">
      <c r="A14" s="91" t="s">
        <v>28</v>
      </c>
      <c r="B14" s="92" t="s">
        <v>156</v>
      </c>
      <c r="C14" s="31">
        <v>0.5</v>
      </c>
      <c r="D14" s="31">
        <v>0.42</v>
      </c>
      <c r="E14" s="31">
        <v>0.35</v>
      </c>
    </row>
    <row r="15" spans="1:5" ht="30" x14ac:dyDescent="0.25">
      <c r="A15" s="91" t="s">
        <v>29</v>
      </c>
      <c r="B15" s="92" t="s">
        <v>157</v>
      </c>
      <c r="C15" s="32">
        <f>C13*C14</f>
        <v>65.699033171750244</v>
      </c>
      <c r="D15" s="32">
        <f>C13*D14</f>
        <v>55.1871878642702</v>
      </c>
      <c r="E15" s="32">
        <f>C13*E14</f>
        <v>45.989323220225167</v>
      </c>
    </row>
    <row r="16" spans="1:5" ht="30" x14ac:dyDescent="0.25">
      <c r="A16" s="91" t="s">
        <v>30</v>
      </c>
      <c r="B16" s="92" t="s">
        <v>158</v>
      </c>
      <c r="C16" s="32">
        <v>65</v>
      </c>
      <c r="D16" s="32">
        <v>55</v>
      </c>
      <c r="E16" s="32">
        <v>45</v>
      </c>
    </row>
    <row r="17" spans="1:5" ht="15.75" x14ac:dyDescent="0.25">
      <c r="A17" s="113" t="s">
        <v>67</v>
      </c>
      <c r="B17" s="114"/>
      <c r="C17" s="115"/>
      <c r="D17" s="115"/>
      <c r="E17" s="116"/>
    </row>
    <row r="18" spans="1:5" x14ac:dyDescent="0.25">
      <c r="A18" s="93" t="s">
        <v>31</v>
      </c>
      <c r="B18" s="94" t="s">
        <v>159</v>
      </c>
      <c r="C18" s="34">
        <v>35</v>
      </c>
      <c r="D18" s="33" t="s">
        <v>1</v>
      </c>
      <c r="E18" s="34">
        <v>35</v>
      </c>
    </row>
    <row r="19" spans="1:5" x14ac:dyDescent="0.25">
      <c r="A19" s="91" t="s">
        <v>32</v>
      </c>
      <c r="B19" s="92" t="s">
        <v>160</v>
      </c>
      <c r="C19" s="31">
        <v>0.5</v>
      </c>
      <c r="D19" s="31">
        <v>0.4</v>
      </c>
      <c r="E19" s="31">
        <v>0.3</v>
      </c>
    </row>
    <row r="20" spans="1:5" ht="30" x14ac:dyDescent="0.25">
      <c r="A20" s="91" t="s">
        <v>33</v>
      </c>
      <c r="B20" s="92" t="s">
        <v>161</v>
      </c>
      <c r="C20" s="32">
        <f>C13*C19</f>
        <v>65.699033171750244</v>
      </c>
      <c r="D20" s="32">
        <f>C13*D19</f>
        <v>52.5592265374002</v>
      </c>
      <c r="E20" s="32">
        <f>C13*E19</f>
        <v>39.419419903050148</v>
      </c>
    </row>
    <row r="21" spans="1:5" ht="32.25" x14ac:dyDescent="0.25">
      <c r="A21" s="91" t="s">
        <v>34</v>
      </c>
      <c r="B21" s="92" t="s">
        <v>55</v>
      </c>
      <c r="C21" s="32">
        <f>C20-C18</f>
        <v>30.699033171750244</v>
      </c>
      <c r="D21" s="32">
        <f>D20-E18</f>
        <v>17.5592265374002</v>
      </c>
      <c r="E21" s="32">
        <f>E20-E18</f>
        <v>4.419419903050148</v>
      </c>
    </row>
    <row r="22" spans="1:5" ht="30" x14ac:dyDescent="0.25">
      <c r="A22" s="91" t="s">
        <v>35</v>
      </c>
      <c r="B22" s="92" t="s">
        <v>153</v>
      </c>
      <c r="C22" s="32">
        <f>TRUNC((C21*0.75),2)</f>
        <v>23.02</v>
      </c>
      <c r="D22" s="32">
        <f t="shared" ref="D22:E22" si="0">TRUNC((D21*0.75),2)</f>
        <v>13.16</v>
      </c>
      <c r="E22" s="32">
        <f t="shared" si="0"/>
        <v>3.31</v>
      </c>
    </row>
    <row r="23" spans="1:5" ht="32.25" x14ac:dyDescent="0.25">
      <c r="A23" s="91" t="s">
        <v>36</v>
      </c>
      <c r="B23" s="92" t="s">
        <v>162</v>
      </c>
      <c r="C23" s="32">
        <f>C18+C22</f>
        <v>58.019999999999996</v>
      </c>
      <c r="D23" s="32">
        <f>E18+D22</f>
        <v>48.16</v>
      </c>
      <c r="E23" s="32">
        <f>E18+E22</f>
        <v>38.31</v>
      </c>
    </row>
    <row r="24" spans="1:5" ht="45" x14ac:dyDescent="0.25">
      <c r="A24" s="91" t="s">
        <v>37</v>
      </c>
      <c r="B24" s="92" t="s">
        <v>163</v>
      </c>
      <c r="C24" s="32">
        <v>60</v>
      </c>
      <c r="D24" s="32">
        <v>50</v>
      </c>
      <c r="E24" s="32">
        <v>40</v>
      </c>
    </row>
    <row r="25" spans="1:5" ht="15.75" x14ac:dyDescent="0.25">
      <c r="A25" s="113" t="s">
        <v>66</v>
      </c>
      <c r="B25" s="114"/>
      <c r="C25" s="115"/>
      <c r="D25" s="115"/>
      <c r="E25" s="116"/>
    </row>
    <row r="26" spans="1:5" ht="30" x14ac:dyDescent="0.25">
      <c r="A26" s="95" t="s">
        <v>38</v>
      </c>
      <c r="B26" s="96" t="s">
        <v>164</v>
      </c>
      <c r="C26" s="49">
        <f>MIN(C16,C24)</f>
        <v>60</v>
      </c>
      <c r="D26" s="49">
        <f t="shared" ref="D26:E26" si="1">MIN(D16,D24)</f>
        <v>50</v>
      </c>
      <c r="E26" s="49">
        <f t="shared" si="1"/>
        <v>40</v>
      </c>
    </row>
    <row r="27" spans="1:5" ht="64.5" customHeight="1" x14ac:dyDescent="0.25">
      <c r="A27" s="161" t="s">
        <v>256</v>
      </c>
      <c r="B27" s="161"/>
      <c r="C27" s="161"/>
      <c r="D27" s="161"/>
      <c r="E27" s="161"/>
    </row>
    <row r="28" spans="1:5" ht="17.45" customHeight="1" x14ac:dyDescent="0.25">
      <c r="A28" s="138" t="s">
        <v>98</v>
      </c>
      <c r="B28" s="138"/>
      <c r="C28" s="138"/>
      <c r="D28" s="138"/>
      <c r="E28" s="138"/>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EA972-2A61-4C2C-8049-89B2342F9722}">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181</v>
      </c>
      <c r="B1" s="149"/>
      <c r="C1" s="149"/>
      <c r="D1" s="149"/>
      <c r="E1" s="150"/>
    </row>
    <row r="2" spans="1:5" ht="56.25" x14ac:dyDescent="0.25">
      <c r="A2" s="35" t="s">
        <v>22</v>
      </c>
      <c r="B2" s="36" t="s">
        <v>60</v>
      </c>
      <c r="C2" s="35" t="s">
        <v>61</v>
      </c>
      <c r="D2" s="37" t="s">
        <v>62</v>
      </c>
      <c r="E2" s="37" t="s">
        <v>59</v>
      </c>
    </row>
    <row r="3" spans="1:5" x14ac:dyDescent="0.25">
      <c r="A3" s="94" t="s">
        <v>64</v>
      </c>
      <c r="B3" s="173">
        <v>46</v>
      </c>
      <c r="C3" s="185">
        <v>12139730</v>
      </c>
      <c r="D3" s="197">
        <f>(C3/C4)</f>
        <v>1</v>
      </c>
      <c r="E3" s="175">
        <f>B3*D3</f>
        <v>46</v>
      </c>
    </row>
    <row r="4" spans="1:5" ht="30" x14ac:dyDescent="0.25">
      <c r="A4" s="104" t="s">
        <v>65</v>
      </c>
      <c r="B4" s="182"/>
      <c r="C4" s="183">
        <f>SUM(C3:C3)</f>
        <v>12139730</v>
      </c>
      <c r="D4" s="200">
        <f>SUM(D3:D3)</f>
        <v>1</v>
      </c>
      <c r="E4" s="184">
        <f>SUM(E3:E3)</f>
        <v>46</v>
      </c>
    </row>
    <row r="7" spans="1:5" ht="18.75" x14ac:dyDescent="0.25">
      <c r="A7" s="134" t="s">
        <v>222</v>
      </c>
      <c r="B7" s="135"/>
      <c r="C7" s="135"/>
      <c r="D7" s="135"/>
      <c r="E7" s="135"/>
    </row>
    <row r="8" spans="1:5" ht="18.75" x14ac:dyDescent="0.25">
      <c r="A8" s="90" t="s">
        <v>23</v>
      </c>
      <c r="B8" s="90" t="s">
        <v>24</v>
      </c>
      <c r="C8" s="90" t="s">
        <v>4</v>
      </c>
      <c r="D8" s="90" t="s">
        <v>3</v>
      </c>
      <c r="E8" s="90" t="s">
        <v>2</v>
      </c>
    </row>
    <row r="9" spans="1:5" ht="15.75" x14ac:dyDescent="0.25">
      <c r="A9" s="114" t="s">
        <v>68</v>
      </c>
      <c r="B9" s="115"/>
      <c r="C9" s="115"/>
      <c r="D9" s="115"/>
      <c r="E9" s="116"/>
    </row>
    <row r="10" spans="1:5" ht="17.25" x14ac:dyDescent="0.25">
      <c r="A10" s="91" t="s">
        <v>27</v>
      </c>
      <c r="B10" s="99" t="s">
        <v>168</v>
      </c>
      <c r="C10" s="151">
        <f>E4</f>
        <v>46</v>
      </c>
      <c r="D10" s="151"/>
      <c r="E10" s="151"/>
    </row>
    <row r="11" spans="1:5" x14ac:dyDescent="0.25">
      <c r="A11" s="91" t="s">
        <v>28</v>
      </c>
      <c r="B11" s="92" t="s">
        <v>156</v>
      </c>
      <c r="C11" s="31">
        <v>0.5</v>
      </c>
      <c r="D11" s="31">
        <v>0.42</v>
      </c>
      <c r="E11" s="31">
        <v>0.35</v>
      </c>
    </row>
    <row r="12" spans="1:5" ht="30" x14ac:dyDescent="0.25">
      <c r="A12" s="91" t="s">
        <v>29</v>
      </c>
      <c r="B12" s="92" t="s">
        <v>157</v>
      </c>
      <c r="C12" s="32">
        <f>C10*C11</f>
        <v>23</v>
      </c>
      <c r="D12" s="32">
        <f>C10*D11</f>
        <v>19.32</v>
      </c>
      <c r="E12" s="32">
        <f>C10*E11</f>
        <v>16.099999999999998</v>
      </c>
    </row>
    <row r="13" spans="1:5" ht="30" x14ac:dyDescent="0.25">
      <c r="A13" s="91" t="s">
        <v>30</v>
      </c>
      <c r="B13" s="92" t="s">
        <v>158</v>
      </c>
      <c r="C13" s="32">
        <v>25</v>
      </c>
      <c r="D13" s="32">
        <v>20</v>
      </c>
      <c r="E13" s="32">
        <v>15</v>
      </c>
    </row>
    <row r="14" spans="1:5" ht="15.75" x14ac:dyDescent="0.25">
      <c r="A14" s="114" t="s">
        <v>67</v>
      </c>
      <c r="B14" s="115"/>
      <c r="C14" s="115"/>
      <c r="D14" s="115"/>
      <c r="E14" s="116"/>
    </row>
    <row r="15" spans="1:5" x14ac:dyDescent="0.25">
      <c r="A15" s="93" t="s">
        <v>31</v>
      </c>
      <c r="B15" s="94" t="s">
        <v>159</v>
      </c>
      <c r="C15" s="34">
        <v>20</v>
      </c>
      <c r="D15" s="33" t="s">
        <v>1</v>
      </c>
      <c r="E15" s="34">
        <v>20</v>
      </c>
    </row>
    <row r="16" spans="1:5" x14ac:dyDescent="0.25">
      <c r="A16" s="91" t="s">
        <v>32</v>
      </c>
      <c r="B16" s="92" t="s">
        <v>160</v>
      </c>
      <c r="C16" s="31">
        <v>0.5</v>
      </c>
      <c r="D16" s="31">
        <v>0.4</v>
      </c>
      <c r="E16" s="31">
        <v>0.3</v>
      </c>
    </row>
    <row r="17" spans="1:5" ht="30" x14ac:dyDescent="0.25">
      <c r="A17" s="91" t="s">
        <v>33</v>
      </c>
      <c r="B17" s="92" t="s">
        <v>161</v>
      </c>
      <c r="C17" s="32">
        <f>C10*C16</f>
        <v>23</v>
      </c>
      <c r="D17" s="32">
        <f>C10*D16</f>
        <v>18.400000000000002</v>
      </c>
      <c r="E17" s="32">
        <f>C10*E16</f>
        <v>13.799999999999999</v>
      </c>
    </row>
    <row r="18" spans="1:5" ht="32.25" x14ac:dyDescent="0.25">
      <c r="A18" s="91" t="s">
        <v>34</v>
      </c>
      <c r="B18" s="92" t="s">
        <v>55</v>
      </c>
      <c r="C18" s="32">
        <f>C17-C15</f>
        <v>3</v>
      </c>
      <c r="D18" s="32">
        <f>D17-E15</f>
        <v>-1.5999999999999979</v>
      </c>
      <c r="E18" s="32">
        <f>E17-E15</f>
        <v>-6.2000000000000011</v>
      </c>
    </row>
    <row r="19" spans="1:5" ht="30" x14ac:dyDescent="0.25">
      <c r="A19" s="91" t="s">
        <v>35</v>
      </c>
      <c r="B19" s="92" t="s">
        <v>153</v>
      </c>
      <c r="C19" s="32">
        <f>TRUNC((C18*0.75),2)</f>
        <v>2.25</v>
      </c>
      <c r="D19" s="32">
        <f t="shared" ref="D19:E19" si="0">TRUNC((D18*0.75),2)</f>
        <v>-1.2</v>
      </c>
      <c r="E19" s="32">
        <f t="shared" si="0"/>
        <v>-4.6500000000000004</v>
      </c>
    </row>
    <row r="20" spans="1:5" ht="32.25" x14ac:dyDescent="0.25">
      <c r="A20" s="91" t="s">
        <v>36</v>
      </c>
      <c r="B20" s="92" t="s">
        <v>162</v>
      </c>
      <c r="C20" s="32">
        <f>C15+C19</f>
        <v>22.25</v>
      </c>
      <c r="D20" s="32">
        <f>E15+D19</f>
        <v>18.8</v>
      </c>
      <c r="E20" s="32">
        <f>E15+E19</f>
        <v>15.35</v>
      </c>
    </row>
    <row r="21" spans="1:5" ht="45" x14ac:dyDescent="0.25">
      <c r="A21" s="91" t="s">
        <v>37</v>
      </c>
      <c r="B21" s="92" t="s">
        <v>163</v>
      </c>
      <c r="C21" s="32">
        <v>20</v>
      </c>
      <c r="D21" s="32">
        <v>20</v>
      </c>
      <c r="E21" s="32">
        <v>15</v>
      </c>
    </row>
    <row r="22" spans="1:5" ht="15.75" x14ac:dyDescent="0.25">
      <c r="A22" s="113" t="s">
        <v>66</v>
      </c>
      <c r="B22" s="114"/>
      <c r="C22" s="115"/>
      <c r="D22" s="115"/>
      <c r="E22" s="116"/>
    </row>
    <row r="23" spans="1:5" ht="30" x14ac:dyDescent="0.25">
      <c r="A23" s="95" t="s">
        <v>38</v>
      </c>
      <c r="B23" s="96" t="s">
        <v>164</v>
      </c>
      <c r="C23" s="49">
        <f>MIN(C13,C21)</f>
        <v>20</v>
      </c>
      <c r="D23" s="49">
        <f t="shared" ref="D23:E23" si="1">MIN(D13,D21)</f>
        <v>20</v>
      </c>
      <c r="E23" s="49">
        <f t="shared" si="1"/>
        <v>15</v>
      </c>
    </row>
    <row r="24" spans="1:5" ht="47.45" customHeight="1" x14ac:dyDescent="0.25">
      <c r="A24" s="161" t="s">
        <v>257</v>
      </c>
      <c r="B24" s="161"/>
      <c r="C24" s="161"/>
      <c r="D24" s="161"/>
      <c r="E24" s="161"/>
    </row>
    <row r="25" spans="1:5" ht="16.5" customHeight="1" x14ac:dyDescent="0.25">
      <c r="A25" s="138" t="s">
        <v>98</v>
      </c>
      <c r="B25" s="138"/>
      <c r="C25" s="138"/>
      <c r="D25" s="138"/>
      <c r="E25" s="138"/>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B421D-F122-41D7-ABFA-A872719CF892}">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182</v>
      </c>
      <c r="B1" s="149"/>
      <c r="C1" s="149"/>
      <c r="D1" s="149"/>
      <c r="E1" s="150"/>
    </row>
    <row r="2" spans="1:5" ht="56.25" x14ac:dyDescent="0.25">
      <c r="A2" s="35" t="s">
        <v>22</v>
      </c>
      <c r="B2" s="36" t="s">
        <v>60</v>
      </c>
      <c r="C2" s="35" t="s">
        <v>61</v>
      </c>
      <c r="D2" s="37" t="s">
        <v>62</v>
      </c>
      <c r="E2" s="37" t="s">
        <v>59</v>
      </c>
    </row>
    <row r="3" spans="1:5" ht="45" x14ac:dyDescent="0.25">
      <c r="A3" s="105" t="s">
        <v>94</v>
      </c>
      <c r="B3" s="173">
        <v>122</v>
      </c>
      <c r="C3" s="185">
        <v>1552007</v>
      </c>
      <c r="D3" s="197">
        <f>(C3/C4)</f>
        <v>1</v>
      </c>
      <c r="E3" s="175">
        <f>B3*D3</f>
        <v>122</v>
      </c>
    </row>
    <row r="4" spans="1:5" ht="30" x14ac:dyDescent="0.25">
      <c r="A4" s="104" t="s">
        <v>69</v>
      </c>
      <c r="B4" s="182"/>
      <c r="C4" s="183">
        <f>SUM(C3:C3)</f>
        <v>1552007</v>
      </c>
      <c r="D4" s="200">
        <f>SUM(D3:D3)</f>
        <v>1</v>
      </c>
      <c r="E4" s="184">
        <f>SUM(E3:E3)</f>
        <v>122</v>
      </c>
    </row>
    <row r="7" spans="1:5" ht="18.75" x14ac:dyDescent="0.25">
      <c r="A7" s="134" t="s">
        <v>223</v>
      </c>
      <c r="B7" s="135"/>
      <c r="C7" s="135"/>
      <c r="D7" s="135"/>
      <c r="E7" s="135"/>
    </row>
    <row r="8" spans="1:5" ht="18.75" x14ac:dyDescent="0.25">
      <c r="A8" s="90" t="s">
        <v>23</v>
      </c>
      <c r="B8" s="90" t="s">
        <v>24</v>
      </c>
      <c r="C8" s="90" t="s">
        <v>4</v>
      </c>
      <c r="D8" s="90" t="s">
        <v>3</v>
      </c>
      <c r="E8" s="90" t="s">
        <v>2</v>
      </c>
    </row>
    <row r="9" spans="1:5" ht="15.75" x14ac:dyDescent="0.25">
      <c r="A9" s="113" t="s">
        <v>68</v>
      </c>
      <c r="B9" s="114"/>
      <c r="C9" s="115"/>
      <c r="D9" s="115"/>
      <c r="E9" s="116"/>
    </row>
    <row r="10" spans="1:5" ht="17.25" x14ac:dyDescent="0.25">
      <c r="A10" s="91" t="s">
        <v>27</v>
      </c>
      <c r="B10" s="99" t="s">
        <v>168</v>
      </c>
      <c r="C10" s="151">
        <f>E4</f>
        <v>122</v>
      </c>
      <c r="D10" s="151"/>
      <c r="E10" s="151"/>
    </row>
    <row r="11" spans="1:5" x14ac:dyDescent="0.25">
      <c r="A11" s="91" t="s">
        <v>28</v>
      </c>
      <c r="B11" s="92" t="s">
        <v>156</v>
      </c>
      <c r="C11" s="31">
        <v>0.5</v>
      </c>
      <c r="D11" s="31">
        <v>0.42</v>
      </c>
      <c r="E11" s="31">
        <v>0.35</v>
      </c>
    </row>
    <row r="12" spans="1:5" ht="30" x14ac:dyDescent="0.25">
      <c r="A12" s="91" t="s">
        <v>29</v>
      </c>
      <c r="B12" s="92" t="s">
        <v>157</v>
      </c>
      <c r="C12" s="32">
        <f>C10*C11</f>
        <v>61</v>
      </c>
      <c r="D12" s="32">
        <f>C10*D11</f>
        <v>51.239999999999995</v>
      </c>
      <c r="E12" s="32">
        <f>C10*E11</f>
        <v>42.699999999999996</v>
      </c>
    </row>
    <row r="13" spans="1:5" ht="30" x14ac:dyDescent="0.25">
      <c r="A13" s="91" t="s">
        <v>30</v>
      </c>
      <c r="B13" s="92" t="s">
        <v>158</v>
      </c>
      <c r="C13" s="32">
        <v>60</v>
      </c>
      <c r="D13" s="32">
        <v>50</v>
      </c>
      <c r="E13" s="32">
        <v>45</v>
      </c>
    </row>
    <row r="14" spans="1:5" ht="15.75" x14ac:dyDescent="0.25">
      <c r="A14" s="113" t="s">
        <v>67</v>
      </c>
      <c r="B14" s="114"/>
      <c r="C14" s="115"/>
      <c r="D14" s="115"/>
      <c r="E14" s="116"/>
    </row>
    <row r="15" spans="1:5" x14ac:dyDescent="0.25">
      <c r="A15" s="93" t="s">
        <v>31</v>
      </c>
      <c r="B15" s="94" t="s">
        <v>159</v>
      </c>
      <c r="C15" s="34">
        <v>40</v>
      </c>
      <c r="D15" s="33" t="s">
        <v>1</v>
      </c>
      <c r="E15" s="34">
        <v>40</v>
      </c>
    </row>
    <row r="16" spans="1:5" x14ac:dyDescent="0.25">
      <c r="A16" s="91" t="s">
        <v>32</v>
      </c>
      <c r="B16" s="92" t="s">
        <v>160</v>
      </c>
      <c r="C16" s="31">
        <v>0.5</v>
      </c>
      <c r="D16" s="31">
        <v>0.4</v>
      </c>
      <c r="E16" s="31">
        <v>0.3</v>
      </c>
    </row>
    <row r="17" spans="1:5" ht="30" x14ac:dyDescent="0.25">
      <c r="A17" s="91" t="s">
        <v>33</v>
      </c>
      <c r="B17" s="92" t="s">
        <v>161</v>
      </c>
      <c r="C17" s="32">
        <f>C10*C16</f>
        <v>61</v>
      </c>
      <c r="D17" s="32">
        <f>C10*D16</f>
        <v>48.800000000000004</v>
      </c>
      <c r="E17" s="32">
        <f>C10*E16</f>
        <v>36.6</v>
      </c>
    </row>
    <row r="18" spans="1:5" ht="32.25" x14ac:dyDescent="0.25">
      <c r="A18" s="91" t="s">
        <v>34</v>
      </c>
      <c r="B18" s="92" t="s">
        <v>55</v>
      </c>
      <c r="C18" s="32">
        <f>C17-C15</f>
        <v>21</v>
      </c>
      <c r="D18" s="32">
        <f>D17-E15</f>
        <v>8.8000000000000043</v>
      </c>
      <c r="E18" s="32">
        <f>E17-E15</f>
        <v>-3.3999999999999986</v>
      </c>
    </row>
    <row r="19" spans="1:5" ht="30" x14ac:dyDescent="0.25">
      <c r="A19" s="91" t="s">
        <v>35</v>
      </c>
      <c r="B19" s="92" t="s">
        <v>153</v>
      </c>
      <c r="C19" s="32">
        <f>TRUNC((C18*0.75),2)</f>
        <v>15.75</v>
      </c>
      <c r="D19" s="32">
        <f t="shared" ref="D19:E19" si="0">TRUNC((D18*0.75),2)</f>
        <v>6.6</v>
      </c>
      <c r="E19" s="32">
        <f t="shared" si="0"/>
        <v>-2.5499999999999998</v>
      </c>
    </row>
    <row r="20" spans="1:5" ht="32.25" x14ac:dyDescent="0.25">
      <c r="A20" s="91" t="s">
        <v>36</v>
      </c>
      <c r="B20" s="92" t="s">
        <v>162</v>
      </c>
      <c r="C20" s="32">
        <f>C15+C19</f>
        <v>55.75</v>
      </c>
      <c r="D20" s="32">
        <f>E15+D19</f>
        <v>46.6</v>
      </c>
      <c r="E20" s="32">
        <f>E15+E19</f>
        <v>37.450000000000003</v>
      </c>
    </row>
    <row r="21" spans="1:5" ht="45" x14ac:dyDescent="0.25">
      <c r="A21" s="91" t="s">
        <v>37</v>
      </c>
      <c r="B21" s="92" t="s">
        <v>163</v>
      </c>
      <c r="C21" s="32">
        <v>55</v>
      </c>
      <c r="D21" s="32">
        <v>45</v>
      </c>
      <c r="E21" s="32">
        <v>35</v>
      </c>
    </row>
    <row r="22" spans="1:5" ht="15.75" x14ac:dyDescent="0.25">
      <c r="A22" s="113" t="s">
        <v>66</v>
      </c>
      <c r="B22" s="114"/>
      <c r="C22" s="115"/>
      <c r="D22" s="115"/>
      <c r="E22" s="116"/>
    </row>
    <row r="23" spans="1:5" ht="30" x14ac:dyDescent="0.25">
      <c r="A23" s="95" t="s">
        <v>38</v>
      </c>
      <c r="B23" s="96" t="s">
        <v>164</v>
      </c>
      <c r="C23" s="49">
        <f>MIN(C13,C21)</f>
        <v>55</v>
      </c>
      <c r="D23" s="49">
        <f t="shared" ref="D23:E23" si="1">MIN(D13,D21)</f>
        <v>45</v>
      </c>
      <c r="E23" s="49">
        <f t="shared" si="1"/>
        <v>35</v>
      </c>
    </row>
    <row r="24" spans="1:5" ht="62.25" customHeight="1" x14ac:dyDescent="0.25">
      <c r="A24" s="161" t="s">
        <v>258</v>
      </c>
      <c r="B24" s="161"/>
      <c r="C24" s="161"/>
      <c r="D24" s="161"/>
      <c r="E24" s="161"/>
    </row>
    <row r="25" spans="1:5" ht="19.5" customHeight="1" x14ac:dyDescent="0.25">
      <c r="A25" s="138" t="s">
        <v>98</v>
      </c>
      <c r="B25" s="138"/>
      <c r="C25" s="138"/>
      <c r="D25" s="138"/>
      <c r="E25" s="138"/>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A5203-2EF2-4586-AE9F-A83D3008473F}">
  <dimension ref="A1:E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183</v>
      </c>
      <c r="B1" s="149"/>
      <c r="C1" s="149"/>
      <c r="D1" s="149"/>
      <c r="E1" s="150"/>
    </row>
    <row r="2" spans="1:5" ht="56.25" x14ac:dyDescent="0.25">
      <c r="A2" s="35" t="s">
        <v>22</v>
      </c>
      <c r="B2" s="36" t="s">
        <v>60</v>
      </c>
      <c r="C2" s="35" t="s">
        <v>61</v>
      </c>
      <c r="D2" s="37" t="s">
        <v>62</v>
      </c>
      <c r="E2" s="37" t="s">
        <v>59</v>
      </c>
    </row>
    <row r="3" spans="1:5" x14ac:dyDescent="0.25">
      <c r="A3" s="94" t="s">
        <v>9</v>
      </c>
      <c r="B3" s="173">
        <v>206</v>
      </c>
      <c r="C3" s="174">
        <v>12465262</v>
      </c>
      <c r="D3" s="197">
        <f>(C3/C7)</f>
        <v>0.59308503552059832</v>
      </c>
      <c r="E3" s="175">
        <f>B3*D3</f>
        <v>122.17551731724325</v>
      </c>
    </row>
    <row r="4" spans="1:5" x14ac:dyDescent="0.25">
      <c r="A4" s="92" t="s">
        <v>10</v>
      </c>
      <c r="B4" s="176">
        <v>140</v>
      </c>
      <c r="C4" s="177">
        <v>2670715</v>
      </c>
      <c r="D4" s="198">
        <f>(C4/C7)</f>
        <v>0.12707002072161777</v>
      </c>
      <c r="E4" s="178">
        <f>B4*D4</f>
        <v>17.789802901026487</v>
      </c>
    </row>
    <row r="5" spans="1:5" x14ac:dyDescent="0.25">
      <c r="A5" s="92" t="s">
        <v>11</v>
      </c>
      <c r="B5" s="176">
        <v>156</v>
      </c>
      <c r="C5" s="177">
        <v>2155684</v>
      </c>
      <c r="D5" s="198">
        <f>(C5/C7)</f>
        <v>0.10256534693865123</v>
      </c>
      <c r="E5" s="178">
        <f>B5*D5</f>
        <v>16.00019412242959</v>
      </c>
    </row>
    <row r="6" spans="1:5" ht="30" x14ac:dyDescent="0.25">
      <c r="A6" s="106" t="s">
        <v>12</v>
      </c>
      <c r="B6" s="180">
        <v>183</v>
      </c>
      <c r="C6" s="181">
        <v>3726003</v>
      </c>
      <c r="D6" s="199">
        <f>C6/C7</f>
        <v>0.17727959681913272</v>
      </c>
      <c r="E6" s="178">
        <f>B6*D6</f>
        <v>32.442166217901288</v>
      </c>
    </row>
    <row r="7" spans="1:5" ht="30" x14ac:dyDescent="0.25">
      <c r="A7" s="104" t="s">
        <v>70</v>
      </c>
      <c r="B7" s="182"/>
      <c r="C7" s="183">
        <f>SUM(C3:C6)</f>
        <v>21017664</v>
      </c>
      <c r="D7" s="200">
        <f>SUM(D3:D6)</f>
        <v>1</v>
      </c>
      <c r="E7" s="184">
        <f>SUM(E3:E6)</f>
        <v>188.40768055860059</v>
      </c>
    </row>
    <row r="10" spans="1:5" ht="18.75" x14ac:dyDescent="0.25">
      <c r="A10" s="134" t="s">
        <v>224</v>
      </c>
      <c r="B10" s="135"/>
      <c r="C10" s="135"/>
      <c r="D10" s="135"/>
      <c r="E10" s="135"/>
    </row>
    <row r="11" spans="1:5" ht="18.75" x14ac:dyDescent="0.25">
      <c r="A11" s="90" t="s">
        <v>23</v>
      </c>
      <c r="B11" s="90" t="s">
        <v>24</v>
      </c>
      <c r="C11" s="90" t="s">
        <v>4</v>
      </c>
      <c r="D11" s="90" t="s">
        <v>3</v>
      </c>
      <c r="E11" s="90" t="s">
        <v>2</v>
      </c>
    </row>
    <row r="12" spans="1:5" ht="15.75" x14ac:dyDescent="0.25">
      <c r="A12" s="113" t="s">
        <v>68</v>
      </c>
      <c r="B12" s="114"/>
      <c r="C12" s="115"/>
      <c r="D12" s="115"/>
      <c r="E12" s="116"/>
    </row>
    <row r="13" spans="1:5" ht="17.25" x14ac:dyDescent="0.25">
      <c r="A13" s="91" t="s">
        <v>27</v>
      </c>
      <c r="B13" s="99" t="s">
        <v>168</v>
      </c>
      <c r="C13" s="136">
        <f>E7</f>
        <v>188.40768055860059</v>
      </c>
      <c r="D13" s="136"/>
      <c r="E13" s="136"/>
    </row>
    <row r="14" spans="1:5" x14ac:dyDescent="0.25">
      <c r="A14" s="91" t="s">
        <v>28</v>
      </c>
      <c r="B14" s="92" t="s">
        <v>156</v>
      </c>
      <c r="C14" s="31">
        <v>0.5</v>
      </c>
      <c r="D14" s="31">
        <v>0.42</v>
      </c>
      <c r="E14" s="31">
        <v>0.35</v>
      </c>
    </row>
    <row r="15" spans="1:5" ht="30" x14ac:dyDescent="0.25">
      <c r="A15" s="91" t="s">
        <v>29</v>
      </c>
      <c r="B15" s="92" t="s">
        <v>157</v>
      </c>
      <c r="C15" s="32">
        <f>C13*C14</f>
        <v>94.203840279300294</v>
      </c>
      <c r="D15" s="32">
        <f>C13*D14</f>
        <v>79.131225834612238</v>
      </c>
      <c r="E15" s="32">
        <f>C13*E14</f>
        <v>65.9426881955102</v>
      </c>
    </row>
    <row r="16" spans="1:5" ht="30" x14ac:dyDescent="0.25">
      <c r="A16" s="91" t="s">
        <v>30</v>
      </c>
      <c r="B16" s="92" t="s">
        <v>158</v>
      </c>
      <c r="C16" s="32">
        <v>95</v>
      </c>
      <c r="D16" s="32">
        <v>80</v>
      </c>
      <c r="E16" s="32">
        <v>65</v>
      </c>
    </row>
    <row r="17" spans="1:5" ht="15.75" x14ac:dyDescent="0.25">
      <c r="A17" s="113" t="s">
        <v>67</v>
      </c>
      <c r="B17" s="114"/>
      <c r="C17" s="115"/>
      <c r="D17" s="115"/>
      <c r="E17" s="116"/>
    </row>
    <row r="18" spans="1:5" x14ac:dyDescent="0.25">
      <c r="A18" s="93" t="s">
        <v>31</v>
      </c>
      <c r="B18" s="94" t="s">
        <v>159</v>
      </c>
      <c r="C18" s="34">
        <v>50</v>
      </c>
      <c r="D18" s="33" t="s">
        <v>1</v>
      </c>
      <c r="E18" s="34">
        <v>50</v>
      </c>
    </row>
    <row r="19" spans="1:5" x14ac:dyDescent="0.25">
      <c r="A19" s="91" t="s">
        <v>32</v>
      </c>
      <c r="B19" s="92" t="s">
        <v>160</v>
      </c>
      <c r="C19" s="31">
        <v>0.5</v>
      </c>
      <c r="D19" s="31">
        <v>0.4</v>
      </c>
      <c r="E19" s="31">
        <v>0.3</v>
      </c>
    </row>
    <row r="20" spans="1:5" ht="30" x14ac:dyDescent="0.25">
      <c r="A20" s="91" t="s">
        <v>33</v>
      </c>
      <c r="B20" s="92" t="s">
        <v>161</v>
      </c>
      <c r="C20" s="32">
        <f>C13*C19</f>
        <v>94.203840279300294</v>
      </c>
      <c r="D20" s="32">
        <f>C13*D19</f>
        <v>75.363072223440241</v>
      </c>
      <c r="E20" s="32">
        <f>C13*E19</f>
        <v>56.522304167580174</v>
      </c>
    </row>
    <row r="21" spans="1:5" ht="32.25" x14ac:dyDescent="0.25">
      <c r="A21" s="91" t="s">
        <v>34</v>
      </c>
      <c r="B21" s="92" t="s">
        <v>55</v>
      </c>
      <c r="C21" s="32">
        <f>C20-C18</f>
        <v>44.203840279300294</v>
      </c>
      <c r="D21" s="32">
        <f>D20-E18</f>
        <v>25.363072223440241</v>
      </c>
      <c r="E21" s="32">
        <f>E20-E18</f>
        <v>6.5223041675801738</v>
      </c>
    </row>
    <row r="22" spans="1:5" ht="30" x14ac:dyDescent="0.25">
      <c r="A22" s="91" t="s">
        <v>35</v>
      </c>
      <c r="B22" s="92" t="s">
        <v>153</v>
      </c>
      <c r="C22" s="32">
        <f>TRUNC((C21*0.75),2)</f>
        <v>33.15</v>
      </c>
      <c r="D22" s="32">
        <f t="shared" ref="D22:E22" si="0">TRUNC((D21*0.75),2)</f>
        <v>19.02</v>
      </c>
      <c r="E22" s="32">
        <f t="shared" si="0"/>
        <v>4.8899999999999997</v>
      </c>
    </row>
    <row r="23" spans="1:5" ht="32.25" x14ac:dyDescent="0.25">
      <c r="A23" s="91" t="s">
        <v>36</v>
      </c>
      <c r="B23" s="92" t="s">
        <v>162</v>
      </c>
      <c r="C23" s="32">
        <f>C18+C22</f>
        <v>83.15</v>
      </c>
      <c r="D23" s="32">
        <f>E18+D22</f>
        <v>69.02</v>
      </c>
      <c r="E23" s="32">
        <f>E18+E22</f>
        <v>54.89</v>
      </c>
    </row>
    <row r="24" spans="1:5" ht="45" x14ac:dyDescent="0.25">
      <c r="A24" s="91" t="s">
        <v>37</v>
      </c>
      <c r="B24" s="92" t="s">
        <v>163</v>
      </c>
      <c r="C24" s="32">
        <v>85</v>
      </c>
      <c r="D24" s="32">
        <v>70</v>
      </c>
      <c r="E24" s="32">
        <v>55</v>
      </c>
    </row>
    <row r="25" spans="1:5" ht="15.75" x14ac:dyDescent="0.25">
      <c r="A25" s="113" t="s">
        <v>66</v>
      </c>
      <c r="B25" s="114"/>
      <c r="C25" s="115"/>
      <c r="D25" s="115"/>
      <c r="E25" s="116"/>
    </row>
    <row r="26" spans="1:5" ht="30" x14ac:dyDescent="0.25">
      <c r="A26" s="95" t="s">
        <v>38</v>
      </c>
      <c r="B26" s="96" t="s">
        <v>164</v>
      </c>
      <c r="C26" s="49">
        <f>MIN(C16,C24)</f>
        <v>85</v>
      </c>
      <c r="D26" s="49">
        <f t="shared" ref="D26:E26" si="1">MIN(D16,D24)</f>
        <v>70</v>
      </c>
      <c r="E26" s="49">
        <f t="shared" si="1"/>
        <v>55</v>
      </c>
    </row>
    <row r="27" spans="1:5" ht="63.75" customHeight="1" x14ac:dyDescent="0.25">
      <c r="A27" s="161" t="s">
        <v>259</v>
      </c>
      <c r="B27" s="161"/>
      <c r="C27" s="161"/>
      <c r="D27" s="161"/>
      <c r="E27" s="161"/>
    </row>
    <row r="28" spans="1:5" ht="17.100000000000001" customHeight="1" x14ac:dyDescent="0.25">
      <c r="A28" s="138" t="s">
        <v>98</v>
      </c>
      <c r="B28" s="138"/>
      <c r="C28" s="138"/>
      <c r="D28" s="138"/>
      <c r="E28" s="138"/>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6E239-3573-449D-AD26-CF257A3BE85C}">
  <dimension ref="A1:E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184</v>
      </c>
      <c r="B1" s="149"/>
      <c r="C1" s="149"/>
      <c r="D1" s="149"/>
      <c r="E1" s="150"/>
    </row>
    <row r="2" spans="1:5" ht="56.25" x14ac:dyDescent="0.25">
      <c r="A2" s="35" t="s">
        <v>22</v>
      </c>
      <c r="B2" s="36" t="s">
        <v>60</v>
      </c>
      <c r="C2" s="35" t="s">
        <v>61</v>
      </c>
      <c r="D2" s="37" t="s">
        <v>62</v>
      </c>
      <c r="E2" s="37" t="s">
        <v>59</v>
      </c>
    </row>
    <row r="3" spans="1:5" ht="30" x14ac:dyDescent="0.25">
      <c r="A3" s="94" t="s">
        <v>13</v>
      </c>
      <c r="B3" s="173">
        <v>228</v>
      </c>
      <c r="C3" s="174">
        <v>1648596</v>
      </c>
      <c r="D3" s="197">
        <f>(C3/C6)</f>
        <v>0.26347541958234744</v>
      </c>
      <c r="E3" s="175">
        <f>B3*D3</f>
        <v>60.072395664775215</v>
      </c>
    </row>
    <row r="4" spans="1:5" ht="30" x14ac:dyDescent="0.25">
      <c r="A4" s="92" t="s">
        <v>14</v>
      </c>
      <c r="B4" s="176">
        <v>134</v>
      </c>
      <c r="C4" s="177">
        <v>2312774</v>
      </c>
      <c r="D4" s="198">
        <f>(C4/C6)</f>
        <v>0.36962306110723553</v>
      </c>
      <c r="E4" s="178">
        <f>B4*D4</f>
        <v>49.529490188369564</v>
      </c>
    </row>
    <row r="5" spans="1:5" x14ac:dyDescent="0.25">
      <c r="A5" s="92" t="s">
        <v>15</v>
      </c>
      <c r="B5" s="176">
        <v>165</v>
      </c>
      <c r="C5" s="177">
        <v>2295745</v>
      </c>
      <c r="D5" s="198">
        <f>(C5/C6)</f>
        <v>0.36690151931041703</v>
      </c>
      <c r="E5" s="178">
        <f>B5*D5</f>
        <v>60.538750686218812</v>
      </c>
    </row>
    <row r="6" spans="1:5" ht="45" x14ac:dyDescent="0.25">
      <c r="A6" s="104" t="s">
        <v>71</v>
      </c>
      <c r="B6" s="182"/>
      <c r="C6" s="183">
        <f>SUM(C3:C5)</f>
        <v>6257115</v>
      </c>
      <c r="D6" s="200">
        <f>SUM(D3:D5)</f>
        <v>1</v>
      </c>
      <c r="E6" s="184">
        <f>SUM(E3:E5)</f>
        <v>170.14063653936358</v>
      </c>
    </row>
    <row r="7" spans="1:5" x14ac:dyDescent="0.25">
      <c r="A7" s="158"/>
      <c r="B7" s="159"/>
      <c r="C7" s="159"/>
      <c r="D7" s="159"/>
      <c r="E7" s="159"/>
    </row>
    <row r="9" spans="1:5" ht="18.75" x14ac:dyDescent="0.25">
      <c r="A9" s="134" t="s">
        <v>225</v>
      </c>
      <c r="B9" s="135"/>
      <c r="C9" s="135"/>
      <c r="D9" s="135"/>
      <c r="E9" s="135"/>
    </row>
    <row r="10" spans="1:5" ht="18.75" x14ac:dyDescent="0.25">
      <c r="A10" s="90" t="s">
        <v>23</v>
      </c>
      <c r="B10" s="90" t="s">
        <v>24</v>
      </c>
      <c r="C10" s="90" t="s">
        <v>4</v>
      </c>
      <c r="D10" s="90" t="s">
        <v>3</v>
      </c>
      <c r="E10" s="90" t="s">
        <v>2</v>
      </c>
    </row>
    <row r="11" spans="1:5" ht="15.75" x14ac:dyDescent="0.25">
      <c r="A11" s="113" t="s">
        <v>68</v>
      </c>
      <c r="B11" s="114"/>
      <c r="C11" s="115"/>
      <c r="D11" s="115"/>
      <c r="E11" s="116"/>
    </row>
    <row r="12" spans="1:5" ht="17.25" x14ac:dyDescent="0.25">
      <c r="A12" s="91" t="s">
        <v>27</v>
      </c>
      <c r="B12" s="99" t="s">
        <v>168</v>
      </c>
      <c r="C12" s="136">
        <f>E6</f>
        <v>170.14063653936358</v>
      </c>
      <c r="D12" s="136"/>
      <c r="E12" s="136"/>
    </row>
    <row r="13" spans="1:5" x14ac:dyDescent="0.25">
      <c r="A13" s="91" t="s">
        <v>28</v>
      </c>
      <c r="B13" s="92" t="s">
        <v>156</v>
      </c>
      <c r="C13" s="31">
        <v>0.5</v>
      </c>
      <c r="D13" s="31">
        <v>0.42</v>
      </c>
      <c r="E13" s="31">
        <v>0.35</v>
      </c>
    </row>
    <row r="14" spans="1:5" ht="30" x14ac:dyDescent="0.25">
      <c r="A14" s="91" t="s">
        <v>29</v>
      </c>
      <c r="B14" s="92" t="s">
        <v>157</v>
      </c>
      <c r="C14" s="32">
        <f>C12*C13</f>
        <v>85.070318269681792</v>
      </c>
      <c r="D14" s="32">
        <f>C12*D13</f>
        <v>71.459067346532706</v>
      </c>
      <c r="E14" s="32">
        <f>C12*E13</f>
        <v>59.54922278877725</v>
      </c>
    </row>
    <row r="15" spans="1:5" ht="30" x14ac:dyDescent="0.25">
      <c r="A15" s="91" t="s">
        <v>30</v>
      </c>
      <c r="B15" s="92" t="s">
        <v>158</v>
      </c>
      <c r="C15" s="32">
        <v>85</v>
      </c>
      <c r="D15" s="32">
        <v>70</v>
      </c>
      <c r="E15" s="32">
        <v>60</v>
      </c>
    </row>
    <row r="16" spans="1:5" ht="15.75" x14ac:dyDescent="0.25">
      <c r="A16" s="113" t="s">
        <v>67</v>
      </c>
      <c r="B16" s="114"/>
      <c r="C16" s="115"/>
      <c r="D16" s="115"/>
      <c r="E16" s="116"/>
    </row>
    <row r="17" spans="1:5" ht="17.25" x14ac:dyDescent="0.25">
      <c r="A17" s="93" t="s">
        <v>31</v>
      </c>
      <c r="B17" s="94" t="s">
        <v>165</v>
      </c>
      <c r="C17" s="34">
        <v>40</v>
      </c>
      <c r="D17" s="33" t="s">
        <v>1</v>
      </c>
      <c r="E17" s="34">
        <v>40</v>
      </c>
    </row>
    <row r="18" spans="1:5" x14ac:dyDescent="0.25">
      <c r="A18" s="91" t="s">
        <v>32</v>
      </c>
      <c r="B18" s="92" t="s">
        <v>160</v>
      </c>
      <c r="C18" s="31">
        <v>0.5</v>
      </c>
      <c r="D18" s="31">
        <v>0.4</v>
      </c>
      <c r="E18" s="31">
        <v>0.3</v>
      </c>
    </row>
    <row r="19" spans="1:5" ht="30" x14ac:dyDescent="0.25">
      <c r="A19" s="91" t="s">
        <v>33</v>
      </c>
      <c r="B19" s="92" t="s">
        <v>161</v>
      </c>
      <c r="C19" s="32">
        <f>C12*C18</f>
        <v>85.070318269681792</v>
      </c>
      <c r="D19" s="32">
        <f>C12*D18</f>
        <v>68.056254615745431</v>
      </c>
      <c r="E19" s="32">
        <f>C12*E18</f>
        <v>51.042190961809077</v>
      </c>
    </row>
    <row r="20" spans="1:5" ht="32.25" x14ac:dyDescent="0.25">
      <c r="A20" s="91" t="s">
        <v>34</v>
      </c>
      <c r="B20" s="92" t="s">
        <v>55</v>
      </c>
      <c r="C20" s="32">
        <f>C19-C17</f>
        <v>45.070318269681792</v>
      </c>
      <c r="D20" s="32">
        <f>D19-E17</f>
        <v>28.056254615745431</v>
      </c>
      <c r="E20" s="32">
        <f>E19-E17</f>
        <v>11.042190961809077</v>
      </c>
    </row>
    <row r="21" spans="1:5" ht="30" x14ac:dyDescent="0.25">
      <c r="A21" s="91" t="s">
        <v>35</v>
      </c>
      <c r="B21" s="92" t="s">
        <v>153</v>
      </c>
      <c r="C21" s="32">
        <f>TRUNC((C20*0.75),2)</f>
        <v>33.799999999999997</v>
      </c>
      <c r="D21" s="32">
        <f t="shared" ref="D21:E21" si="0">TRUNC((D20*0.75),2)</f>
        <v>21.04</v>
      </c>
      <c r="E21" s="32">
        <f t="shared" si="0"/>
        <v>8.2799999999999994</v>
      </c>
    </row>
    <row r="22" spans="1:5" ht="32.25" x14ac:dyDescent="0.25">
      <c r="A22" s="91" t="s">
        <v>36</v>
      </c>
      <c r="B22" s="92" t="s">
        <v>185</v>
      </c>
      <c r="C22" s="32">
        <f>C17+C21</f>
        <v>73.8</v>
      </c>
      <c r="D22" s="32">
        <f>E17+D21</f>
        <v>61.04</v>
      </c>
      <c r="E22" s="32">
        <f>E17+E21</f>
        <v>48.28</v>
      </c>
    </row>
    <row r="23" spans="1:5" ht="45" x14ac:dyDescent="0.25">
      <c r="A23" s="91" t="s">
        <v>37</v>
      </c>
      <c r="B23" s="92" t="s">
        <v>163</v>
      </c>
      <c r="C23" s="32">
        <v>75</v>
      </c>
      <c r="D23" s="32">
        <v>60</v>
      </c>
      <c r="E23" s="32">
        <v>50</v>
      </c>
    </row>
    <row r="24" spans="1:5" ht="15.75" x14ac:dyDescent="0.25">
      <c r="A24" s="113" t="s">
        <v>66</v>
      </c>
      <c r="B24" s="114"/>
      <c r="C24" s="115"/>
      <c r="D24" s="115"/>
      <c r="E24" s="116"/>
    </row>
    <row r="25" spans="1:5" ht="30" x14ac:dyDescent="0.25">
      <c r="A25" s="95" t="s">
        <v>38</v>
      </c>
      <c r="B25" s="96" t="s">
        <v>164</v>
      </c>
      <c r="C25" s="49">
        <f>MIN(C15,C23)</f>
        <v>75</v>
      </c>
      <c r="D25" s="49">
        <f t="shared" ref="D25:E25" si="1">MIN(D15,D23)</f>
        <v>60</v>
      </c>
      <c r="E25" s="49">
        <f t="shared" si="1"/>
        <v>50</v>
      </c>
    </row>
    <row r="26" spans="1:5" ht="62.45" customHeight="1" x14ac:dyDescent="0.25">
      <c r="A26" s="161" t="s">
        <v>260</v>
      </c>
      <c r="B26" s="161"/>
      <c r="C26" s="161"/>
      <c r="D26" s="161"/>
      <c r="E26" s="161"/>
    </row>
    <row r="27" spans="1:5" ht="17.100000000000001" customHeight="1" x14ac:dyDescent="0.25">
      <c r="A27" s="138" t="s">
        <v>166</v>
      </c>
      <c r="B27" s="138"/>
      <c r="C27" s="138"/>
      <c r="D27" s="138"/>
      <c r="E27" s="138"/>
    </row>
    <row r="28" spans="1:5" ht="18" customHeight="1" x14ac:dyDescent="0.25">
      <c r="A28" s="138" t="s">
        <v>99</v>
      </c>
      <c r="B28" s="138"/>
      <c r="C28" s="138"/>
      <c r="D28" s="138"/>
      <c r="E28" s="138"/>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63761-9378-4853-9BB6-958A7A3334CA}">
  <dimension ref="A1:E2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48" t="s">
        <v>186</v>
      </c>
      <c r="B1" s="149"/>
      <c r="C1" s="149"/>
      <c r="D1" s="149"/>
      <c r="E1" s="150"/>
    </row>
    <row r="2" spans="1:5" ht="56.25" x14ac:dyDescent="0.25">
      <c r="A2" s="37" t="s">
        <v>22</v>
      </c>
      <c r="B2" s="36" t="s">
        <v>60</v>
      </c>
      <c r="C2" s="37" t="s">
        <v>61</v>
      </c>
      <c r="D2" s="37" t="s">
        <v>62</v>
      </c>
      <c r="E2" s="37" t="s">
        <v>59</v>
      </c>
    </row>
    <row r="3" spans="1:5" x14ac:dyDescent="0.25">
      <c r="A3" s="92" t="s">
        <v>15</v>
      </c>
      <c r="B3" s="176">
        <v>165</v>
      </c>
      <c r="C3" s="177">
        <v>2295745</v>
      </c>
      <c r="D3" s="198">
        <f>(C3/C4)</f>
        <v>1</v>
      </c>
      <c r="E3" s="178">
        <f>B3*D3</f>
        <v>165</v>
      </c>
    </row>
    <row r="4" spans="1:5" ht="30" x14ac:dyDescent="0.25">
      <c r="A4" s="104" t="s">
        <v>72</v>
      </c>
      <c r="B4" s="182"/>
      <c r="C4" s="183">
        <f>SUM(C3:C3)</f>
        <v>2295745</v>
      </c>
      <c r="D4" s="200">
        <f>SUM(D3:D3)</f>
        <v>1</v>
      </c>
      <c r="E4" s="184">
        <f>SUM(E3:E3)</f>
        <v>165</v>
      </c>
    </row>
    <row r="7" spans="1:5" ht="18.75" x14ac:dyDescent="0.25">
      <c r="A7" s="134" t="s">
        <v>226</v>
      </c>
      <c r="B7" s="135"/>
      <c r="C7" s="135"/>
      <c r="D7" s="135"/>
      <c r="E7" s="135"/>
    </row>
    <row r="8" spans="1:5" ht="18.75" x14ac:dyDescent="0.25">
      <c r="A8" s="90" t="s">
        <v>23</v>
      </c>
      <c r="B8" s="90" t="s">
        <v>24</v>
      </c>
      <c r="C8" s="90" t="s">
        <v>4</v>
      </c>
      <c r="D8" s="90" t="s">
        <v>3</v>
      </c>
      <c r="E8" s="90" t="s">
        <v>2</v>
      </c>
    </row>
    <row r="9" spans="1:5" ht="15.75" x14ac:dyDescent="0.25">
      <c r="A9" s="113" t="s">
        <v>68</v>
      </c>
      <c r="B9" s="114"/>
      <c r="C9" s="115"/>
      <c r="D9" s="115"/>
      <c r="E9" s="116"/>
    </row>
    <row r="10" spans="1:5" ht="17.25" x14ac:dyDescent="0.25">
      <c r="A10" s="91" t="s">
        <v>27</v>
      </c>
      <c r="B10" s="99" t="s">
        <v>168</v>
      </c>
      <c r="C10" s="136">
        <f>E4</f>
        <v>165</v>
      </c>
      <c r="D10" s="136"/>
      <c r="E10" s="136"/>
    </row>
    <row r="11" spans="1:5" x14ac:dyDescent="0.25">
      <c r="A11" s="91" t="s">
        <v>28</v>
      </c>
      <c r="B11" s="92" t="s">
        <v>156</v>
      </c>
      <c r="C11" s="31">
        <v>0.5</v>
      </c>
      <c r="D11" s="31">
        <v>0.42</v>
      </c>
      <c r="E11" s="31">
        <v>0.35</v>
      </c>
    </row>
    <row r="12" spans="1:5" ht="30" x14ac:dyDescent="0.25">
      <c r="A12" s="91" t="s">
        <v>29</v>
      </c>
      <c r="B12" s="92" t="s">
        <v>157</v>
      </c>
      <c r="C12" s="32">
        <f>C10*C11</f>
        <v>82.5</v>
      </c>
      <c r="D12" s="32">
        <f>C10*D11</f>
        <v>69.3</v>
      </c>
      <c r="E12" s="32">
        <f>C10*E11</f>
        <v>57.749999999999993</v>
      </c>
    </row>
    <row r="13" spans="1:5" ht="30" x14ac:dyDescent="0.25">
      <c r="A13" s="91" t="s">
        <v>30</v>
      </c>
      <c r="B13" s="92" t="s">
        <v>158</v>
      </c>
      <c r="C13" s="32">
        <v>80</v>
      </c>
      <c r="D13" s="32">
        <v>70</v>
      </c>
      <c r="E13" s="32">
        <v>60</v>
      </c>
    </row>
    <row r="14" spans="1:5" ht="15.75" x14ac:dyDescent="0.25">
      <c r="A14" s="113" t="s">
        <v>67</v>
      </c>
      <c r="B14" s="114"/>
      <c r="C14" s="115"/>
      <c r="D14" s="115"/>
      <c r="E14" s="116"/>
    </row>
    <row r="15" spans="1:5" ht="17.25" x14ac:dyDescent="0.25">
      <c r="A15" s="93" t="s">
        <v>31</v>
      </c>
      <c r="B15" s="94" t="s">
        <v>165</v>
      </c>
      <c r="C15" s="34">
        <v>40</v>
      </c>
      <c r="D15" s="33" t="s">
        <v>1</v>
      </c>
      <c r="E15" s="34">
        <v>40</v>
      </c>
    </row>
    <row r="16" spans="1:5" x14ac:dyDescent="0.25">
      <c r="A16" s="91" t="s">
        <v>32</v>
      </c>
      <c r="B16" s="92" t="s">
        <v>160</v>
      </c>
      <c r="C16" s="31">
        <v>0.5</v>
      </c>
      <c r="D16" s="31">
        <v>0.4</v>
      </c>
      <c r="E16" s="31">
        <v>0.3</v>
      </c>
    </row>
    <row r="17" spans="1:5" ht="30" x14ac:dyDescent="0.25">
      <c r="A17" s="91" t="s">
        <v>33</v>
      </c>
      <c r="B17" s="92" t="s">
        <v>161</v>
      </c>
      <c r="C17" s="32">
        <f>C10*C16</f>
        <v>82.5</v>
      </c>
      <c r="D17" s="32">
        <f>C10*D16</f>
        <v>66</v>
      </c>
      <c r="E17" s="32">
        <f>C10*E16</f>
        <v>49.5</v>
      </c>
    </row>
    <row r="18" spans="1:5" ht="32.25" x14ac:dyDescent="0.25">
      <c r="A18" s="91" t="s">
        <v>34</v>
      </c>
      <c r="B18" s="92" t="s">
        <v>55</v>
      </c>
      <c r="C18" s="32">
        <f>C17-C15</f>
        <v>42.5</v>
      </c>
      <c r="D18" s="32">
        <f>D17-E15</f>
        <v>26</v>
      </c>
      <c r="E18" s="32">
        <f>E17-E15</f>
        <v>9.5</v>
      </c>
    </row>
    <row r="19" spans="1:5" ht="30" x14ac:dyDescent="0.25">
      <c r="A19" s="91" t="s">
        <v>35</v>
      </c>
      <c r="B19" s="92" t="s">
        <v>153</v>
      </c>
      <c r="C19" s="32">
        <f>TRUNC((C18*0.75),2)</f>
        <v>31.87</v>
      </c>
      <c r="D19" s="32">
        <f t="shared" ref="D19:E19" si="0">TRUNC((D18*0.75),2)</f>
        <v>19.5</v>
      </c>
      <c r="E19" s="32">
        <f t="shared" si="0"/>
        <v>7.12</v>
      </c>
    </row>
    <row r="20" spans="1:5" ht="32.25" x14ac:dyDescent="0.25">
      <c r="A20" s="91" t="s">
        <v>36</v>
      </c>
      <c r="B20" s="92" t="s">
        <v>185</v>
      </c>
      <c r="C20" s="32">
        <f>C15+C19</f>
        <v>71.87</v>
      </c>
      <c r="D20" s="32">
        <f>E15+D19</f>
        <v>59.5</v>
      </c>
      <c r="E20" s="32">
        <f>E15+E19</f>
        <v>47.12</v>
      </c>
    </row>
    <row r="21" spans="1:5" ht="45" x14ac:dyDescent="0.25">
      <c r="A21" s="91" t="s">
        <v>37</v>
      </c>
      <c r="B21" s="92" t="s">
        <v>163</v>
      </c>
      <c r="C21" s="32">
        <v>70</v>
      </c>
      <c r="D21" s="32">
        <v>60</v>
      </c>
      <c r="E21" s="32">
        <v>45</v>
      </c>
    </row>
    <row r="22" spans="1:5" ht="15.75" x14ac:dyDescent="0.25">
      <c r="A22" s="113" t="s">
        <v>66</v>
      </c>
      <c r="B22" s="114"/>
      <c r="C22" s="115"/>
      <c r="D22" s="115"/>
      <c r="E22" s="116"/>
    </row>
    <row r="23" spans="1:5" ht="30" x14ac:dyDescent="0.25">
      <c r="A23" s="95" t="s">
        <v>38</v>
      </c>
      <c r="B23" s="96" t="s">
        <v>164</v>
      </c>
      <c r="C23" s="49">
        <f>MIN(C13,C21)</f>
        <v>70</v>
      </c>
      <c r="D23" s="49">
        <f t="shared" ref="D23:E23" si="1">MIN(D13,D21)</f>
        <v>60</v>
      </c>
      <c r="E23" s="49">
        <f t="shared" si="1"/>
        <v>45</v>
      </c>
    </row>
    <row r="24" spans="1:5" ht="46.5" customHeight="1" x14ac:dyDescent="0.25">
      <c r="A24" s="161" t="s">
        <v>261</v>
      </c>
      <c r="B24" s="161"/>
      <c r="C24" s="161"/>
      <c r="D24" s="161"/>
      <c r="E24" s="161"/>
    </row>
    <row r="25" spans="1:5" ht="17.100000000000001" customHeight="1" x14ac:dyDescent="0.25">
      <c r="A25" s="138" t="s">
        <v>166</v>
      </c>
      <c r="B25" s="138"/>
      <c r="C25" s="138"/>
      <c r="D25" s="138"/>
      <c r="E25" s="138"/>
    </row>
    <row r="26" spans="1:5" ht="17.25" customHeight="1" x14ac:dyDescent="0.25">
      <c r="A26" s="138" t="s">
        <v>99</v>
      </c>
      <c r="B26" s="138"/>
      <c r="C26" s="138"/>
      <c r="D26" s="138"/>
      <c r="E26" s="138"/>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B33E6-4FE4-418D-9EE0-B310E0C81B98}">
  <dimension ref="A1:F2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6.42578125" bestFit="1"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6" ht="18.600000000000001" customHeight="1" x14ac:dyDescent="0.25">
      <c r="A1" s="148" t="s">
        <v>187</v>
      </c>
      <c r="B1" s="149"/>
      <c r="C1" s="149"/>
      <c r="D1" s="149"/>
      <c r="E1" s="150"/>
    </row>
    <row r="2" spans="1:6" ht="56.25" x14ac:dyDescent="0.25">
      <c r="A2" s="35" t="s">
        <v>22</v>
      </c>
      <c r="B2" s="201" t="s">
        <v>60</v>
      </c>
      <c r="C2" s="35" t="s">
        <v>61</v>
      </c>
      <c r="D2" s="37" t="s">
        <v>62</v>
      </c>
      <c r="E2" s="37" t="s">
        <v>59</v>
      </c>
    </row>
    <row r="3" spans="1:6" ht="45" x14ac:dyDescent="0.25">
      <c r="A3" s="94" t="s">
        <v>16</v>
      </c>
      <c r="B3" s="173">
        <v>195</v>
      </c>
      <c r="C3" s="174">
        <v>2158779</v>
      </c>
      <c r="D3" s="197">
        <f>(C3/C5)</f>
        <v>0.90479220130942162</v>
      </c>
      <c r="E3" s="175">
        <f>B3*D3</f>
        <v>176.43447925533721</v>
      </c>
      <c r="F3" s="42"/>
    </row>
    <row r="4" spans="1:6" ht="30" x14ac:dyDescent="0.25">
      <c r="A4" s="92" t="s">
        <v>17</v>
      </c>
      <c r="B4" s="176">
        <v>130</v>
      </c>
      <c r="C4" s="177">
        <v>227160</v>
      </c>
      <c r="D4" s="198">
        <f>(C4/C5)</f>
        <v>9.5207798690578424E-2</v>
      </c>
      <c r="E4" s="178">
        <f>B4*D4</f>
        <v>12.377013829775196</v>
      </c>
      <c r="F4" s="42"/>
    </row>
    <row r="5" spans="1:6" ht="60" x14ac:dyDescent="0.25">
      <c r="A5" s="104" t="s">
        <v>73</v>
      </c>
      <c r="B5" s="182"/>
      <c r="C5" s="183">
        <f>SUM(C3:C4)</f>
        <v>2385939</v>
      </c>
      <c r="D5" s="200">
        <f>SUM(D3:D4)</f>
        <v>1</v>
      </c>
      <c r="E5" s="184">
        <f>SUM(E3:E4)</f>
        <v>188.8114930851124</v>
      </c>
    </row>
    <row r="6" spans="1:6" x14ac:dyDescent="0.25">
      <c r="B6" s="42"/>
      <c r="C6" s="42"/>
      <c r="E6" s="42"/>
      <c r="F6" s="42"/>
    </row>
    <row r="7" spans="1:6" x14ac:dyDescent="0.25">
      <c r="B7" s="42"/>
      <c r="C7" s="42"/>
      <c r="E7" s="42"/>
    </row>
    <row r="8" spans="1:6" ht="18.75" x14ac:dyDescent="0.25">
      <c r="A8" s="134" t="s">
        <v>227</v>
      </c>
      <c r="B8" s="135"/>
      <c r="C8" s="135"/>
      <c r="D8" s="135"/>
      <c r="E8" s="135"/>
    </row>
    <row r="9" spans="1:6" ht="18.75" x14ac:dyDescent="0.25">
      <c r="A9" s="90" t="s">
        <v>23</v>
      </c>
      <c r="B9" s="90" t="s">
        <v>24</v>
      </c>
      <c r="C9" s="90" t="s">
        <v>4</v>
      </c>
      <c r="D9" s="90" t="s">
        <v>3</v>
      </c>
      <c r="E9" s="90" t="s">
        <v>2</v>
      </c>
    </row>
    <row r="10" spans="1:6" ht="15.75" x14ac:dyDescent="0.25">
      <c r="A10" s="113" t="s">
        <v>68</v>
      </c>
      <c r="B10" s="114"/>
      <c r="C10" s="115"/>
      <c r="D10" s="115"/>
      <c r="E10" s="116"/>
    </row>
    <row r="11" spans="1:6" ht="17.25" x14ac:dyDescent="0.25">
      <c r="A11" s="91" t="s">
        <v>27</v>
      </c>
      <c r="B11" s="99" t="s">
        <v>168</v>
      </c>
      <c r="C11" s="136">
        <f>E5</f>
        <v>188.8114930851124</v>
      </c>
      <c r="D11" s="136"/>
      <c r="E11" s="136"/>
    </row>
    <row r="12" spans="1:6" x14ac:dyDescent="0.25">
      <c r="A12" s="91" t="s">
        <v>28</v>
      </c>
      <c r="B12" s="92" t="s">
        <v>156</v>
      </c>
      <c r="C12" s="31">
        <v>0.5</v>
      </c>
      <c r="D12" s="31">
        <v>0.42</v>
      </c>
      <c r="E12" s="31">
        <v>0.35</v>
      </c>
    </row>
    <row r="13" spans="1:6" ht="30" x14ac:dyDescent="0.25">
      <c r="A13" s="91" t="s">
        <v>29</v>
      </c>
      <c r="B13" s="92" t="s">
        <v>157</v>
      </c>
      <c r="C13" s="32">
        <f>C11*C12</f>
        <v>94.405746542556201</v>
      </c>
      <c r="D13" s="32">
        <f>C11*D12</f>
        <v>79.300827095747209</v>
      </c>
      <c r="E13" s="32">
        <f>C11*E12</f>
        <v>66.084022579789334</v>
      </c>
    </row>
    <row r="14" spans="1:6" ht="30" x14ac:dyDescent="0.25">
      <c r="A14" s="91" t="s">
        <v>30</v>
      </c>
      <c r="B14" s="92" t="s">
        <v>158</v>
      </c>
      <c r="C14" s="32">
        <v>95</v>
      </c>
      <c r="D14" s="32">
        <v>80</v>
      </c>
      <c r="E14" s="32">
        <v>65</v>
      </c>
    </row>
    <row r="15" spans="1:6" ht="15.75" x14ac:dyDescent="0.25">
      <c r="A15" s="113" t="s">
        <v>67</v>
      </c>
      <c r="B15" s="114"/>
      <c r="C15" s="115"/>
      <c r="D15" s="115"/>
      <c r="E15" s="116"/>
    </row>
    <row r="16" spans="1:6" x14ac:dyDescent="0.25">
      <c r="A16" s="93" t="s">
        <v>31</v>
      </c>
      <c r="B16" s="94" t="s">
        <v>159</v>
      </c>
      <c r="C16" s="34">
        <v>40</v>
      </c>
      <c r="D16" s="33" t="s">
        <v>1</v>
      </c>
      <c r="E16" s="34">
        <v>40</v>
      </c>
    </row>
    <row r="17" spans="1:5" x14ac:dyDescent="0.25">
      <c r="A17" s="91" t="s">
        <v>32</v>
      </c>
      <c r="B17" s="92" t="s">
        <v>160</v>
      </c>
      <c r="C17" s="31">
        <v>0.5</v>
      </c>
      <c r="D17" s="31">
        <v>0.4</v>
      </c>
      <c r="E17" s="31">
        <v>0.3</v>
      </c>
    </row>
    <row r="18" spans="1:5" ht="30" x14ac:dyDescent="0.25">
      <c r="A18" s="91" t="s">
        <v>33</v>
      </c>
      <c r="B18" s="92" t="s">
        <v>161</v>
      </c>
      <c r="C18" s="32">
        <f>C11*C17</f>
        <v>94.405746542556201</v>
      </c>
      <c r="D18" s="32">
        <f>C11*D17</f>
        <v>75.524597234044961</v>
      </c>
      <c r="E18" s="32">
        <f>C11*E17</f>
        <v>56.643447925533721</v>
      </c>
    </row>
    <row r="19" spans="1:5" ht="32.25" x14ac:dyDescent="0.25">
      <c r="A19" s="91" t="s">
        <v>34</v>
      </c>
      <c r="B19" s="92" t="s">
        <v>55</v>
      </c>
      <c r="C19" s="32">
        <f>C18-C16</f>
        <v>54.405746542556201</v>
      </c>
      <c r="D19" s="32">
        <f>D18-E16</f>
        <v>35.524597234044961</v>
      </c>
      <c r="E19" s="32">
        <f>E18-E16</f>
        <v>16.643447925533721</v>
      </c>
    </row>
    <row r="20" spans="1:5" ht="30" x14ac:dyDescent="0.25">
      <c r="A20" s="91" t="s">
        <v>35</v>
      </c>
      <c r="B20" s="92" t="s">
        <v>153</v>
      </c>
      <c r="C20" s="32">
        <f>TRUNC((C19*0.75),2)</f>
        <v>40.799999999999997</v>
      </c>
      <c r="D20" s="32">
        <f t="shared" ref="D20:E20" si="0">TRUNC((D19*0.75),2)</f>
        <v>26.64</v>
      </c>
      <c r="E20" s="32">
        <f t="shared" si="0"/>
        <v>12.48</v>
      </c>
    </row>
    <row r="21" spans="1:5" ht="32.25" x14ac:dyDescent="0.25">
      <c r="A21" s="91" t="s">
        <v>36</v>
      </c>
      <c r="B21" s="92" t="s">
        <v>162</v>
      </c>
      <c r="C21" s="32">
        <f>C16+C20</f>
        <v>80.8</v>
      </c>
      <c r="D21" s="32">
        <f>E16+D20</f>
        <v>66.64</v>
      </c>
      <c r="E21" s="32">
        <f>E16+E20</f>
        <v>52.480000000000004</v>
      </c>
    </row>
    <row r="22" spans="1:5" ht="45" x14ac:dyDescent="0.25">
      <c r="A22" s="91" t="s">
        <v>37</v>
      </c>
      <c r="B22" s="92" t="s">
        <v>163</v>
      </c>
      <c r="C22" s="32">
        <v>80</v>
      </c>
      <c r="D22" s="32">
        <v>65</v>
      </c>
      <c r="E22" s="32">
        <v>50</v>
      </c>
    </row>
    <row r="23" spans="1:5" ht="15.75" x14ac:dyDescent="0.25">
      <c r="A23" s="113" t="s">
        <v>66</v>
      </c>
      <c r="B23" s="114"/>
      <c r="C23" s="115"/>
      <c r="D23" s="115"/>
      <c r="E23" s="116"/>
    </row>
    <row r="24" spans="1:5" ht="30" x14ac:dyDescent="0.25">
      <c r="A24" s="95" t="s">
        <v>38</v>
      </c>
      <c r="B24" s="96" t="s">
        <v>164</v>
      </c>
      <c r="C24" s="49">
        <f>MIN(C14,C22)</f>
        <v>80</v>
      </c>
      <c r="D24" s="49">
        <f t="shared" ref="D24:E24" si="1">MIN(D14,D22)</f>
        <v>65</v>
      </c>
      <c r="E24" s="49">
        <f t="shared" si="1"/>
        <v>50</v>
      </c>
    </row>
    <row r="25" spans="1:5" ht="63.75" customHeight="1" x14ac:dyDescent="0.25">
      <c r="A25" s="161" t="s">
        <v>262</v>
      </c>
      <c r="B25" s="161"/>
      <c r="C25" s="161"/>
      <c r="D25" s="161"/>
      <c r="E25" s="161"/>
    </row>
    <row r="26" spans="1:5" ht="17.100000000000001" customHeight="1" x14ac:dyDescent="0.25">
      <c r="A26" s="138" t="s">
        <v>98</v>
      </c>
      <c r="B26" s="138"/>
      <c r="C26" s="138"/>
      <c r="D26" s="138"/>
      <c r="E26" s="13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9E72F-C0B0-47A4-B158-FF9A2E130E68}">
  <dimension ref="A1:F36"/>
  <sheetViews>
    <sheetView zoomScaleNormal="100" zoomScaleSheetLayoutView="110" workbookViewId="0"/>
  </sheetViews>
  <sheetFormatPr defaultColWidth="8.7109375" defaultRowHeight="15" x14ac:dyDescent="0.25"/>
  <cols>
    <col min="1" max="1" width="13.42578125" style="1" bestFit="1" customWidth="1"/>
    <col min="2" max="2" width="84.85546875" style="1" customWidth="1"/>
    <col min="3" max="3" width="20.42578125" style="1" customWidth="1"/>
    <col min="4" max="6" width="10.140625" style="1" bestFit="1" customWidth="1"/>
    <col min="7" max="8" width="11.7109375" style="1" customWidth="1"/>
    <col min="9" max="9" width="11.140625" style="1" customWidth="1"/>
    <col min="10" max="12" width="11.5703125" style="1" customWidth="1"/>
    <col min="13" max="15" width="10.85546875" style="1" customWidth="1"/>
    <col min="16" max="16384" width="8.7109375" style="1"/>
  </cols>
  <sheetData>
    <row r="1" spans="1:6" ht="18.75" x14ac:dyDescent="0.25">
      <c r="A1" s="120" t="s">
        <v>133</v>
      </c>
      <c r="B1" s="120"/>
      <c r="C1" s="120"/>
    </row>
    <row r="2" spans="1:6" ht="30" x14ac:dyDescent="0.25">
      <c r="A2" s="66" t="s">
        <v>23</v>
      </c>
      <c r="B2" s="67" t="s">
        <v>24</v>
      </c>
      <c r="C2" s="67" t="s">
        <v>53</v>
      </c>
    </row>
    <row r="3" spans="1:6" ht="17.25" x14ac:dyDescent="0.25">
      <c r="A3" s="68" t="s">
        <v>27</v>
      </c>
      <c r="B3" s="69" t="s">
        <v>102</v>
      </c>
      <c r="C3" s="162">
        <v>1712</v>
      </c>
    </row>
    <row r="4" spans="1:6" ht="17.25" x14ac:dyDescent="0.25">
      <c r="A4" s="70" t="s">
        <v>28</v>
      </c>
      <c r="B4" s="69" t="s">
        <v>273</v>
      </c>
      <c r="C4" s="163">
        <v>282</v>
      </c>
    </row>
    <row r="5" spans="1:6" ht="17.25" x14ac:dyDescent="0.25">
      <c r="A5" s="70" t="s">
        <v>29</v>
      </c>
      <c r="B5" s="69" t="s">
        <v>274</v>
      </c>
      <c r="C5" s="163">
        <v>114</v>
      </c>
    </row>
    <row r="6" spans="1:6" ht="17.25" x14ac:dyDescent="0.25">
      <c r="A6" s="70" t="s">
        <v>30</v>
      </c>
      <c r="B6" s="69" t="s">
        <v>275</v>
      </c>
      <c r="C6" s="163">
        <v>77</v>
      </c>
    </row>
    <row r="7" spans="1:6" ht="17.25" x14ac:dyDescent="0.25">
      <c r="A7" s="70" t="s">
        <v>31</v>
      </c>
      <c r="B7" s="69" t="s">
        <v>276</v>
      </c>
      <c r="C7" s="163">
        <v>74</v>
      </c>
    </row>
    <row r="8" spans="1:6" ht="17.25" x14ac:dyDescent="0.25">
      <c r="A8" s="70" t="s">
        <v>32</v>
      </c>
      <c r="B8" s="69" t="s">
        <v>277</v>
      </c>
      <c r="C8" s="163">
        <v>68</v>
      </c>
    </row>
    <row r="9" spans="1:6" ht="17.25" x14ac:dyDescent="0.25">
      <c r="A9" s="71" t="s">
        <v>33</v>
      </c>
      <c r="B9" s="72" t="s">
        <v>278</v>
      </c>
      <c r="C9" s="164">
        <v>67</v>
      </c>
    </row>
    <row r="10" spans="1:6" ht="32.1" customHeight="1" x14ac:dyDescent="0.25">
      <c r="A10" s="165" t="s">
        <v>236</v>
      </c>
      <c r="B10" s="165"/>
      <c r="C10" s="165"/>
    </row>
    <row r="11" spans="1:6" ht="20.100000000000001" customHeight="1" x14ac:dyDescent="0.25">
      <c r="A11" s="130" t="s">
        <v>134</v>
      </c>
      <c r="B11" s="130"/>
      <c r="C11" s="130"/>
    </row>
    <row r="12" spans="1:6" x14ac:dyDescent="0.25">
      <c r="A12" s="6"/>
      <c r="B12" s="6"/>
      <c r="C12" s="6"/>
    </row>
    <row r="13" spans="1:6" ht="18.600000000000001" customHeight="1" x14ac:dyDescent="0.25">
      <c r="A13" s="119" t="s">
        <v>205</v>
      </c>
      <c r="B13" s="119"/>
      <c r="C13" s="119"/>
      <c r="D13" s="119"/>
      <c r="E13" s="119"/>
      <c r="F13" s="119"/>
    </row>
    <row r="14" spans="1:6" ht="30" x14ac:dyDescent="0.25">
      <c r="A14" s="67" t="s">
        <v>23</v>
      </c>
      <c r="B14" s="73" t="s">
        <v>24</v>
      </c>
      <c r="C14" s="66" t="s">
        <v>49</v>
      </c>
      <c r="D14" s="66" t="s">
        <v>50</v>
      </c>
      <c r="E14" s="66" t="s">
        <v>51</v>
      </c>
      <c r="F14" s="66" t="s">
        <v>47</v>
      </c>
    </row>
    <row r="15" spans="1:6" x14ac:dyDescent="0.25">
      <c r="A15" s="70" t="s">
        <v>27</v>
      </c>
      <c r="B15" s="74" t="s">
        <v>48</v>
      </c>
      <c r="C15" s="123">
        <f>C3</f>
        <v>1712</v>
      </c>
      <c r="D15" s="124"/>
      <c r="E15" s="124"/>
      <c r="F15" s="125"/>
    </row>
    <row r="16" spans="1:6" ht="45" x14ac:dyDescent="0.25">
      <c r="A16" s="70" t="s">
        <v>28</v>
      </c>
      <c r="B16" s="75" t="s">
        <v>279</v>
      </c>
      <c r="C16" s="7">
        <f>SUM(C4:C6)</f>
        <v>473</v>
      </c>
      <c r="D16" s="7">
        <f>SUM(C4:C9)</f>
        <v>682</v>
      </c>
      <c r="E16" s="7">
        <f>SUM(C4:C8)+(C9*5)</f>
        <v>950</v>
      </c>
      <c r="F16" s="22">
        <f>SUM(C4:C8)+(C9*55)</f>
        <v>4300</v>
      </c>
    </row>
    <row r="17" spans="1:6" ht="30" x14ac:dyDescent="0.25">
      <c r="A17" s="76" t="s">
        <v>29</v>
      </c>
      <c r="B17" s="77" t="s">
        <v>108</v>
      </c>
      <c r="C17" s="7">
        <f>C15+C16</f>
        <v>2185</v>
      </c>
      <c r="D17" s="7">
        <f>C15+D16</f>
        <v>2394</v>
      </c>
      <c r="E17" s="7">
        <f>C15+E16</f>
        <v>2662</v>
      </c>
      <c r="F17" s="23">
        <f>C15+F16</f>
        <v>6012</v>
      </c>
    </row>
    <row r="18" spans="1:6" ht="30" x14ac:dyDescent="0.25">
      <c r="A18" s="76" t="s">
        <v>30</v>
      </c>
      <c r="B18" s="77" t="s">
        <v>109</v>
      </c>
      <c r="C18" s="126">
        <f>'MOOP Limits'!D7</f>
        <v>9350</v>
      </c>
      <c r="D18" s="127"/>
      <c r="E18" s="127"/>
      <c r="F18" s="128"/>
    </row>
    <row r="19" spans="1:6" ht="30" x14ac:dyDescent="0.25">
      <c r="A19" s="76" t="s">
        <v>31</v>
      </c>
      <c r="B19" s="77" t="s">
        <v>137</v>
      </c>
      <c r="C19" s="8">
        <f>MIN(C17, C18)</f>
        <v>2185</v>
      </c>
      <c r="D19" s="8">
        <f>MIN(D17, C18)</f>
        <v>2394</v>
      </c>
      <c r="E19" s="8">
        <f>MIN(E17,C18)</f>
        <v>2662</v>
      </c>
      <c r="F19" s="53">
        <f>MIN(F17, C18)</f>
        <v>6012</v>
      </c>
    </row>
    <row r="20" spans="1:6" ht="30" x14ac:dyDescent="0.25">
      <c r="A20" s="78" t="s">
        <v>32</v>
      </c>
      <c r="B20" s="79" t="s">
        <v>116</v>
      </c>
      <c r="C20" s="44">
        <v>2185</v>
      </c>
      <c r="D20" s="44">
        <v>2394</v>
      </c>
      <c r="E20" s="44">
        <v>2662</v>
      </c>
      <c r="F20" s="44">
        <v>6012</v>
      </c>
    </row>
    <row r="22" spans="1:6" ht="18.600000000000001" customHeight="1" x14ac:dyDescent="0.25">
      <c r="A22" s="119" t="s">
        <v>206</v>
      </c>
      <c r="B22" s="119"/>
      <c r="C22" s="119"/>
      <c r="D22" s="119"/>
      <c r="E22" s="119"/>
      <c r="F22" s="119"/>
    </row>
    <row r="23" spans="1:6" ht="30" x14ac:dyDescent="0.25">
      <c r="A23" s="80" t="s">
        <v>23</v>
      </c>
      <c r="B23" s="81" t="s">
        <v>24</v>
      </c>
      <c r="C23" s="80" t="s">
        <v>49</v>
      </c>
      <c r="D23" s="80" t="s">
        <v>50</v>
      </c>
      <c r="E23" s="80" t="s">
        <v>51</v>
      </c>
      <c r="F23" s="80" t="s">
        <v>47</v>
      </c>
    </row>
    <row r="24" spans="1:6" ht="30" x14ac:dyDescent="0.25">
      <c r="A24" s="70" t="s">
        <v>27</v>
      </c>
      <c r="B24" s="74" t="s">
        <v>111</v>
      </c>
      <c r="C24" s="7">
        <f>C17*1.25</f>
        <v>2731.25</v>
      </c>
      <c r="D24" s="7">
        <f>D17*1.25</f>
        <v>2992.5</v>
      </c>
      <c r="E24" s="7">
        <f>E17*1.25</f>
        <v>3327.5</v>
      </c>
      <c r="F24" s="22">
        <f>F17*1.25</f>
        <v>7515</v>
      </c>
    </row>
    <row r="25" spans="1:6" ht="30" x14ac:dyDescent="0.25">
      <c r="A25" s="76" t="s">
        <v>28</v>
      </c>
      <c r="B25" s="77" t="s">
        <v>110</v>
      </c>
      <c r="C25" s="129">
        <f>'MOOP Limits'!C7</f>
        <v>4150</v>
      </c>
      <c r="D25" s="121"/>
      <c r="E25" s="121"/>
      <c r="F25" s="122"/>
    </row>
    <row r="26" spans="1:6" ht="45" x14ac:dyDescent="0.25">
      <c r="A26" s="76" t="s">
        <v>29</v>
      </c>
      <c r="B26" s="77" t="s">
        <v>138</v>
      </c>
      <c r="C26" s="8">
        <f>MIN(C24, C25)</f>
        <v>2731.25</v>
      </c>
      <c r="D26" s="8">
        <f>MIN(D24, C25)</f>
        <v>2992.5</v>
      </c>
      <c r="E26" s="8">
        <f>MIN(E24,C25)</f>
        <v>3327.5</v>
      </c>
      <c r="F26" s="50">
        <f>C25</f>
        <v>4150</v>
      </c>
    </row>
    <row r="27" spans="1:6" ht="30" x14ac:dyDescent="0.25">
      <c r="A27" s="78" t="s">
        <v>30</v>
      </c>
      <c r="B27" s="79" t="s">
        <v>117</v>
      </c>
      <c r="C27" s="45">
        <v>2731</v>
      </c>
      <c r="D27" s="45">
        <v>2992</v>
      </c>
      <c r="E27" s="45">
        <v>3327</v>
      </c>
      <c r="F27" s="45">
        <v>4150</v>
      </c>
    </row>
    <row r="29" spans="1:6" ht="18.600000000000001" customHeight="1" x14ac:dyDescent="0.25">
      <c r="A29" s="119" t="s">
        <v>207</v>
      </c>
      <c r="B29" s="119"/>
      <c r="C29" s="119"/>
      <c r="D29" s="119"/>
      <c r="E29" s="119"/>
      <c r="F29" s="119"/>
    </row>
    <row r="30" spans="1:6" ht="30" x14ac:dyDescent="0.25">
      <c r="A30" s="71" t="s">
        <v>23</v>
      </c>
      <c r="B30" s="76" t="s">
        <v>24</v>
      </c>
      <c r="C30" s="70" t="s">
        <v>49</v>
      </c>
      <c r="D30" s="70" t="s">
        <v>50</v>
      </c>
      <c r="E30" s="70" t="s">
        <v>51</v>
      </c>
      <c r="F30" s="70" t="s">
        <v>47</v>
      </c>
    </row>
    <row r="31" spans="1:6" ht="30" x14ac:dyDescent="0.25">
      <c r="A31" s="68" t="s">
        <v>27</v>
      </c>
      <c r="B31" s="74" t="s">
        <v>112</v>
      </c>
      <c r="C31" s="24">
        <f>C19</f>
        <v>2185</v>
      </c>
      <c r="D31" s="9">
        <f>D19</f>
        <v>2394</v>
      </c>
      <c r="E31" s="9">
        <f>E19</f>
        <v>2662</v>
      </c>
      <c r="F31" s="25">
        <f>F19</f>
        <v>6012</v>
      </c>
    </row>
    <row r="32" spans="1:6" ht="30" x14ac:dyDescent="0.25">
      <c r="A32" s="70" t="s">
        <v>28</v>
      </c>
      <c r="B32" s="77" t="s">
        <v>113</v>
      </c>
      <c r="C32" s="7">
        <f>C26</f>
        <v>2731.25</v>
      </c>
      <c r="D32" s="7">
        <f>D26</f>
        <v>2992.5</v>
      </c>
      <c r="E32" s="7">
        <f>E26</f>
        <v>3327.5</v>
      </c>
      <c r="F32" s="22">
        <f>F26</f>
        <v>4150</v>
      </c>
    </row>
    <row r="33" spans="1:6" ht="45" x14ac:dyDescent="0.25">
      <c r="A33" s="70" t="s">
        <v>29</v>
      </c>
      <c r="B33" s="69" t="s">
        <v>114</v>
      </c>
      <c r="C33" s="27">
        <f>((C32-C31)/2)+C31</f>
        <v>2458.125</v>
      </c>
      <c r="D33" s="7">
        <f>((D32-D31)/2)+D31</f>
        <v>2693.25</v>
      </c>
      <c r="E33" s="7">
        <f>((E32-E31)/2)+E31</f>
        <v>2994.75</v>
      </c>
      <c r="F33" s="23">
        <f>((F32-F31)/2)+F31</f>
        <v>5081</v>
      </c>
    </row>
    <row r="34" spans="1:6" ht="30" x14ac:dyDescent="0.25">
      <c r="A34" s="70" t="s">
        <v>30</v>
      </c>
      <c r="B34" s="69" t="s">
        <v>115</v>
      </c>
      <c r="C34" s="121">
        <f>'MOOP Limits'!C17</f>
        <v>6750</v>
      </c>
      <c r="D34" s="121"/>
      <c r="E34" s="121"/>
      <c r="F34" s="122"/>
    </row>
    <row r="35" spans="1:6" ht="30" x14ac:dyDescent="0.25">
      <c r="A35" s="71" t="s">
        <v>31</v>
      </c>
      <c r="B35" s="72" t="s">
        <v>149</v>
      </c>
      <c r="C35" s="7">
        <f>MIN(C33,C34)</f>
        <v>2458.125</v>
      </c>
      <c r="D35" s="7">
        <f>MIN(D33,C34)</f>
        <v>2693.25</v>
      </c>
      <c r="E35" s="7">
        <f>MIN(E33,C34)</f>
        <v>2994.75</v>
      </c>
      <c r="F35" s="23">
        <f>MIN(F33,C34)</f>
        <v>5081</v>
      </c>
    </row>
    <row r="36" spans="1:6" ht="30" x14ac:dyDescent="0.25">
      <c r="A36" s="82" t="s">
        <v>32</v>
      </c>
      <c r="B36" s="83" t="s">
        <v>118</v>
      </c>
      <c r="C36" s="45">
        <v>2458</v>
      </c>
      <c r="D36" s="45">
        <v>2693</v>
      </c>
      <c r="E36" s="45">
        <v>2995</v>
      </c>
      <c r="F36" s="45">
        <v>5081</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EA5A6-05E1-4662-A732-9339A3CDA0B5}">
  <dimension ref="A1:C24"/>
  <sheetViews>
    <sheetView zoomScaleNormal="100" workbookViewId="0"/>
  </sheetViews>
  <sheetFormatPr defaultRowHeight="15" x14ac:dyDescent="0.25"/>
  <cols>
    <col min="1" max="1" width="17.140625" bestFit="1" customWidth="1"/>
    <col min="2" max="2" width="96.7109375" customWidth="1"/>
    <col min="3" max="3" width="29.570312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600000000000001" customHeight="1" x14ac:dyDescent="0.25">
      <c r="A1" s="152" t="s">
        <v>188</v>
      </c>
      <c r="B1" s="152"/>
      <c r="C1" s="152"/>
    </row>
    <row r="2" spans="1:3" ht="30" x14ac:dyDescent="0.25">
      <c r="A2" s="90" t="s">
        <v>23</v>
      </c>
      <c r="B2" s="202" t="s">
        <v>21</v>
      </c>
      <c r="C2" s="98" t="s">
        <v>89</v>
      </c>
    </row>
    <row r="3" spans="1:3" x14ac:dyDescent="0.25">
      <c r="A3" s="109" t="s">
        <v>27</v>
      </c>
      <c r="B3" s="204" t="s">
        <v>88</v>
      </c>
      <c r="C3" s="203">
        <v>449</v>
      </c>
    </row>
    <row r="4" spans="1:3" x14ac:dyDescent="0.25">
      <c r="A4" s="107" t="s">
        <v>28</v>
      </c>
      <c r="B4" s="205" t="s">
        <v>19</v>
      </c>
      <c r="C4" s="193">
        <v>1371</v>
      </c>
    </row>
    <row r="7" spans="1:3" ht="18.75" x14ac:dyDescent="0.25">
      <c r="A7" s="144" t="s">
        <v>228</v>
      </c>
      <c r="B7" s="145"/>
      <c r="C7" s="146"/>
    </row>
    <row r="8" spans="1:3" ht="18.75" x14ac:dyDescent="0.25">
      <c r="A8" s="90" t="s">
        <v>23</v>
      </c>
      <c r="B8" s="90" t="s">
        <v>24</v>
      </c>
      <c r="C8" s="90" t="s">
        <v>85</v>
      </c>
    </row>
    <row r="9" spans="1:3" ht="15.75" x14ac:dyDescent="0.25">
      <c r="A9" s="114" t="s">
        <v>68</v>
      </c>
      <c r="B9" s="115"/>
      <c r="C9" s="117"/>
    </row>
    <row r="10" spans="1:3" ht="32.25" x14ac:dyDescent="0.25">
      <c r="A10" s="91" t="s">
        <v>27</v>
      </c>
      <c r="B10" s="112" t="s">
        <v>189</v>
      </c>
      <c r="C10" s="34">
        <f>MIN(C3,C4)</f>
        <v>449</v>
      </c>
    </row>
    <row r="11" spans="1:3" x14ac:dyDescent="0.25">
      <c r="A11" s="91" t="s">
        <v>28</v>
      </c>
      <c r="B11" s="92" t="s">
        <v>173</v>
      </c>
      <c r="C11" s="31">
        <v>0.2</v>
      </c>
    </row>
    <row r="12" spans="1:3" ht="32.25" x14ac:dyDescent="0.25">
      <c r="A12" s="91" t="s">
        <v>29</v>
      </c>
      <c r="B12" s="92" t="s">
        <v>190</v>
      </c>
      <c r="C12" s="32">
        <f>C10*C11</f>
        <v>89.800000000000011</v>
      </c>
    </row>
    <row r="13" spans="1:3" ht="30" x14ac:dyDescent="0.25">
      <c r="A13" s="91" t="s">
        <v>30</v>
      </c>
      <c r="B13" s="92" t="s">
        <v>175</v>
      </c>
      <c r="C13" s="32">
        <v>90</v>
      </c>
    </row>
    <row r="14" spans="1:3" ht="15.75" x14ac:dyDescent="0.25">
      <c r="A14" s="114" t="s">
        <v>67</v>
      </c>
      <c r="B14" s="115"/>
      <c r="C14" s="116"/>
    </row>
    <row r="15" spans="1:3" x14ac:dyDescent="0.25">
      <c r="A15" s="93" t="s">
        <v>31</v>
      </c>
      <c r="B15" s="94" t="s">
        <v>159</v>
      </c>
      <c r="C15" s="34">
        <v>60</v>
      </c>
    </row>
    <row r="16" spans="1:3" ht="32.25" x14ac:dyDescent="0.25">
      <c r="A16" s="91" t="s">
        <v>32</v>
      </c>
      <c r="B16" s="92" t="s">
        <v>58</v>
      </c>
      <c r="C16" s="32">
        <f>C12-C15</f>
        <v>29.800000000000011</v>
      </c>
    </row>
    <row r="17" spans="1:3" ht="30" x14ac:dyDescent="0.25">
      <c r="A17" s="91" t="s">
        <v>33</v>
      </c>
      <c r="B17" s="99" t="s">
        <v>176</v>
      </c>
      <c r="C17" s="32">
        <f>TRUNC((C16*0.75),2)</f>
        <v>22.35</v>
      </c>
    </row>
    <row r="18" spans="1:3" ht="30" x14ac:dyDescent="0.25">
      <c r="A18" s="91" t="s">
        <v>34</v>
      </c>
      <c r="B18" s="92" t="s">
        <v>177</v>
      </c>
      <c r="C18" s="32">
        <f>C15+C17</f>
        <v>82.35</v>
      </c>
    </row>
    <row r="19" spans="1:3" ht="30" x14ac:dyDescent="0.25">
      <c r="A19" s="91" t="s">
        <v>35</v>
      </c>
      <c r="B19" s="92" t="s">
        <v>178</v>
      </c>
      <c r="C19" s="32">
        <v>80</v>
      </c>
    </row>
    <row r="20" spans="1:3" ht="15.75" x14ac:dyDescent="0.25">
      <c r="A20" s="114" t="s">
        <v>66</v>
      </c>
      <c r="B20" s="115"/>
      <c r="C20" s="116"/>
    </row>
    <row r="21" spans="1:3" x14ac:dyDescent="0.25">
      <c r="A21" s="95" t="s">
        <v>36</v>
      </c>
      <c r="B21" s="96" t="s">
        <v>179</v>
      </c>
      <c r="C21" s="49">
        <f>MIN(C13,C19)</f>
        <v>80</v>
      </c>
    </row>
    <row r="22" spans="1:3" ht="50.25" customHeight="1" x14ac:dyDescent="0.25">
      <c r="A22" s="161" t="s">
        <v>240</v>
      </c>
      <c r="B22" s="161"/>
      <c r="C22" s="161"/>
    </row>
    <row r="23" spans="1:3" ht="49.5" customHeight="1" x14ac:dyDescent="0.25">
      <c r="A23" s="138" t="s">
        <v>167</v>
      </c>
      <c r="B23" s="138"/>
      <c r="C23" s="138"/>
    </row>
    <row r="24" spans="1:3" x14ac:dyDescent="0.25">
      <c r="A24" s="1"/>
      <c r="B24" s="1"/>
      <c r="C24" s="1"/>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BE9E0-0E2D-415B-9BC0-27682C0E3DFA}">
  <dimension ref="A1:H37"/>
  <sheetViews>
    <sheetView zoomScaleNormal="100" workbookViewId="0"/>
  </sheetViews>
  <sheetFormatPr defaultRowHeight="15" x14ac:dyDescent="0.25"/>
  <cols>
    <col min="1" max="1" width="17.42578125" bestFit="1" customWidth="1"/>
    <col min="2" max="2" width="126" customWidth="1"/>
    <col min="3" max="3" width="52.5703125" customWidth="1"/>
    <col min="4" max="4" width="19.28515625" customWidth="1"/>
    <col min="5" max="5" width="27.28515625" customWidth="1"/>
    <col min="6" max="6" width="20.85546875" customWidth="1"/>
    <col min="7" max="7" width="23.85546875" customWidth="1"/>
    <col min="8" max="8" width="28.5703125" customWidth="1"/>
    <col min="9" max="13" width="13.28515625" customWidth="1"/>
    <col min="14" max="14" width="19.5703125" customWidth="1"/>
    <col min="15" max="15" width="10.42578125" customWidth="1"/>
    <col min="16" max="16" width="10.140625" bestFit="1" customWidth="1"/>
    <col min="17" max="17" width="12.140625" bestFit="1" customWidth="1"/>
    <col min="18" max="18" width="15.85546875" customWidth="1"/>
    <col min="20" max="20" width="18.85546875" customWidth="1"/>
    <col min="21" max="21" width="6.5703125" customWidth="1"/>
    <col min="22" max="22" width="10.140625" bestFit="1" customWidth="1"/>
    <col min="23" max="23" width="12.140625" bestFit="1" customWidth="1"/>
    <col min="26" max="26" width="15.42578125" bestFit="1" customWidth="1"/>
    <col min="27" max="27" width="7" bestFit="1" customWidth="1"/>
    <col min="28" max="28" width="11.7109375" customWidth="1"/>
  </cols>
  <sheetData>
    <row r="1" spans="1:8" ht="18.600000000000001" customHeight="1" x14ac:dyDescent="0.25">
      <c r="A1" s="152" t="s">
        <v>191</v>
      </c>
      <c r="B1" s="152"/>
      <c r="C1" s="152"/>
      <c r="D1" s="152"/>
      <c r="E1" s="152"/>
      <c r="F1" s="152"/>
      <c r="G1" s="152"/>
      <c r="H1" s="152"/>
    </row>
    <row r="2" spans="1:8" ht="45" x14ac:dyDescent="0.25">
      <c r="A2" s="102" t="s">
        <v>20</v>
      </c>
      <c r="B2" s="97" t="s">
        <v>75</v>
      </c>
      <c r="C2" s="98" t="s">
        <v>263</v>
      </c>
      <c r="D2" s="98" t="s">
        <v>264</v>
      </c>
      <c r="E2" s="98" t="s">
        <v>84</v>
      </c>
      <c r="F2" s="98" t="s">
        <v>87</v>
      </c>
      <c r="G2" s="98" t="s">
        <v>86</v>
      </c>
      <c r="H2" s="98" t="s">
        <v>268</v>
      </c>
    </row>
    <row r="3" spans="1:8" x14ac:dyDescent="0.25">
      <c r="A3" s="103" t="s">
        <v>76</v>
      </c>
      <c r="B3" s="169" t="s">
        <v>77</v>
      </c>
      <c r="C3" s="40">
        <v>25312942.27</v>
      </c>
      <c r="D3" s="186">
        <v>302444</v>
      </c>
      <c r="E3" s="39">
        <f>D3/D9</f>
        <v>0.25862027684761751</v>
      </c>
      <c r="F3" s="38">
        <f t="shared" ref="F3:F8" si="0">C3/D3</f>
        <v>83.694641884117388</v>
      </c>
      <c r="G3" s="38">
        <f>E3*F3</f>
        <v>21.645131454732642</v>
      </c>
      <c r="H3" s="38">
        <f>G3*1.08</f>
        <v>23.376741971111255</v>
      </c>
    </row>
    <row r="4" spans="1:8" x14ac:dyDescent="0.25">
      <c r="A4" s="103" t="s">
        <v>79</v>
      </c>
      <c r="B4" s="169" t="s">
        <v>78</v>
      </c>
      <c r="C4" s="40">
        <v>808588.5</v>
      </c>
      <c r="D4" s="186">
        <v>3249</v>
      </c>
      <c r="E4" s="39">
        <f>D4/D9</f>
        <v>2.7782243307121627E-3</v>
      </c>
      <c r="F4" s="38">
        <f t="shared" si="0"/>
        <v>248.87303785780239</v>
      </c>
      <c r="G4" s="38">
        <f t="shared" ref="G4:G8" si="1">E4*F4</f>
        <v>0.6914251290347958</v>
      </c>
      <c r="H4" s="38">
        <f t="shared" ref="H4:H8" si="2">G4*1.08</f>
        <v>0.74673913935757952</v>
      </c>
    </row>
    <row r="5" spans="1:8" x14ac:dyDescent="0.25">
      <c r="A5" s="103" t="s">
        <v>100</v>
      </c>
      <c r="B5" s="169" t="s">
        <v>101</v>
      </c>
      <c r="C5" s="40">
        <v>14451.84</v>
      </c>
      <c r="D5" s="186">
        <v>339</v>
      </c>
      <c r="E5" s="39">
        <f>D5/D9</f>
        <v>2.8987936229960698E-4</v>
      </c>
      <c r="F5" s="38">
        <f t="shared" si="0"/>
        <v>42.630796460176988</v>
      </c>
      <c r="G5" s="38">
        <f t="shared" si="1"/>
        <v>1.2357788092200448E-2</v>
      </c>
      <c r="H5" s="38">
        <f t="shared" si="2"/>
        <v>1.3346411139576485E-2</v>
      </c>
    </row>
    <row r="6" spans="1:8" x14ac:dyDescent="0.25">
      <c r="A6" s="103" t="s">
        <v>81</v>
      </c>
      <c r="B6" s="169" t="s">
        <v>80</v>
      </c>
      <c r="C6" s="40">
        <v>14324421.859999999</v>
      </c>
      <c r="D6" s="186">
        <v>419454</v>
      </c>
      <c r="E6" s="39">
        <f>D6/D9</f>
        <v>0.35867568741598627</v>
      </c>
      <c r="F6" s="38">
        <f t="shared" si="0"/>
        <v>34.150161543339671</v>
      </c>
      <c r="G6" s="38">
        <f t="shared" si="1"/>
        <v>12.248832666924335</v>
      </c>
      <c r="H6" s="38">
        <f t="shared" si="2"/>
        <v>13.228739280278281</v>
      </c>
    </row>
    <row r="7" spans="1:8" x14ac:dyDescent="0.25">
      <c r="A7" s="103" t="s">
        <v>83</v>
      </c>
      <c r="B7" s="169" t="s">
        <v>82</v>
      </c>
      <c r="C7" s="40">
        <v>9854898.1999999993</v>
      </c>
      <c r="D7" s="186">
        <v>193577</v>
      </c>
      <c r="E7" s="39">
        <f>D7/D9</f>
        <v>0.16552795668398532</v>
      </c>
      <c r="F7" s="38">
        <f t="shared" si="0"/>
        <v>50.909447919949166</v>
      </c>
      <c r="G7" s="38">
        <f t="shared" si="1"/>
        <v>8.4269368900989523</v>
      </c>
      <c r="H7" s="38">
        <f t="shared" si="2"/>
        <v>9.1010918413068698</v>
      </c>
    </row>
    <row r="8" spans="1:8" x14ac:dyDescent="0.25">
      <c r="A8" s="108" t="s">
        <v>91</v>
      </c>
      <c r="B8" s="169" t="s">
        <v>104</v>
      </c>
      <c r="C8" s="40">
        <v>12820950.02</v>
      </c>
      <c r="D8" s="186">
        <v>250389</v>
      </c>
      <c r="E8" s="39">
        <f>D8/D9</f>
        <v>0.2141079753593991</v>
      </c>
      <c r="F8" s="38">
        <f t="shared" si="0"/>
        <v>51.204126459229435</v>
      </c>
      <c r="G8" s="38">
        <f t="shared" si="1"/>
        <v>10.963211846232252</v>
      </c>
      <c r="H8" s="38">
        <f t="shared" si="2"/>
        <v>11.840268793930832</v>
      </c>
    </row>
    <row r="9" spans="1:8" x14ac:dyDescent="0.25">
      <c r="A9" s="153" t="s">
        <v>18</v>
      </c>
      <c r="B9" s="187"/>
      <c r="C9" s="40">
        <f t="shared" ref="C9:H9" si="3">SUM(C3:C8)</f>
        <v>63136252.689999998</v>
      </c>
      <c r="D9" s="188">
        <f t="shared" si="3"/>
        <v>1169452</v>
      </c>
      <c r="E9" s="39">
        <f t="shared" si="3"/>
        <v>1</v>
      </c>
      <c r="F9" s="38">
        <f t="shared" si="3"/>
        <v>511.46221212461506</v>
      </c>
      <c r="G9" s="40">
        <f t="shared" si="3"/>
        <v>53.987895775115177</v>
      </c>
      <c r="H9" s="160">
        <f t="shared" si="3"/>
        <v>58.306927437124394</v>
      </c>
    </row>
    <row r="10" spans="1:8" ht="14.65" customHeight="1" x14ac:dyDescent="0.25">
      <c r="A10" s="189" t="s">
        <v>265</v>
      </c>
      <c r="B10" s="189"/>
      <c r="C10" s="189"/>
      <c r="D10" s="189"/>
    </row>
    <row r="12" spans="1:8" ht="18.75" x14ac:dyDescent="0.25">
      <c r="A12" s="144" t="s">
        <v>229</v>
      </c>
      <c r="B12" s="145"/>
      <c r="C12" s="146"/>
    </row>
    <row r="13" spans="1:8" ht="18.75" x14ac:dyDescent="0.25">
      <c r="A13" s="90" t="s">
        <v>23</v>
      </c>
      <c r="B13" s="90" t="s">
        <v>24</v>
      </c>
      <c r="C13" s="90" t="s">
        <v>103</v>
      </c>
    </row>
    <row r="14" spans="1:8" x14ac:dyDescent="0.25">
      <c r="A14" s="91" t="s">
        <v>27</v>
      </c>
      <c r="B14" s="99" t="s">
        <v>192</v>
      </c>
      <c r="C14" s="34">
        <f>H9</f>
        <v>58.306927437124394</v>
      </c>
    </row>
    <row r="15" spans="1:8" x14ac:dyDescent="0.25">
      <c r="A15" s="91" t="s">
        <v>28</v>
      </c>
      <c r="B15" s="101" t="s">
        <v>193</v>
      </c>
      <c r="C15" s="31">
        <v>0.5</v>
      </c>
    </row>
    <row r="16" spans="1:8" ht="17.25" x14ac:dyDescent="0.25">
      <c r="A16" s="91" t="s">
        <v>29</v>
      </c>
      <c r="B16" s="92" t="s">
        <v>194</v>
      </c>
      <c r="C16" s="32">
        <f>C14*C15</f>
        <v>29.153463718562197</v>
      </c>
    </row>
    <row r="17" spans="1:5" x14ac:dyDescent="0.25">
      <c r="A17" s="95" t="s">
        <v>30</v>
      </c>
      <c r="B17" s="96" t="s">
        <v>195</v>
      </c>
      <c r="C17" s="49">
        <v>30</v>
      </c>
    </row>
    <row r="18" spans="1:5" ht="45.6" customHeight="1" x14ac:dyDescent="0.25">
      <c r="A18" s="161" t="s">
        <v>266</v>
      </c>
      <c r="B18" s="161"/>
      <c r="C18" s="161"/>
      <c r="E18" t="s">
        <v>0</v>
      </c>
    </row>
    <row r="19" spans="1:5" x14ac:dyDescent="0.25">
      <c r="A19" s="1"/>
      <c r="B19" s="1"/>
      <c r="C19" s="1"/>
    </row>
    <row r="21" spans="1:5" ht="18.75" x14ac:dyDescent="0.25">
      <c r="A21" s="144" t="s">
        <v>230</v>
      </c>
      <c r="B21" s="145"/>
      <c r="C21" s="146"/>
    </row>
    <row r="22" spans="1:5" ht="21" x14ac:dyDescent="0.25">
      <c r="A22" s="90" t="s">
        <v>23</v>
      </c>
      <c r="B22" s="90" t="s">
        <v>24</v>
      </c>
      <c r="C22" s="100" t="s">
        <v>74</v>
      </c>
    </row>
    <row r="23" spans="1:5" ht="15.75" x14ac:dyDescent="0.25">
      <c r="A23" s="114" t="s">
        <v>68</v>
      </c>
      <c r="B23" s="115"/>
      <c r="C23" s="116"/>
    </row>
    <row r="24" spans="1:5" ht="17.25" x14ac:dyDescent="0.25">
      <c r="A24" s="91" t="s">
        <v>27</v>
      </c>
      <c r="B24" s="99" t="s">
        <v>168</v>
      </c>
      <c r="C24" s="34">
        <f>H9</f>
        <v>58.306927437124394</v>
      </c>
    </row>
    <row r="25" spans="1:5" x14ac:dyDescent="0.25">
      <c r="A25" s="91" t="s">
        <v>28</v>
      </c>
      <c r="B25" s="101" t="s">
        <v>173</v>
      </c>
      <c r="C25" s="31">
        <v>0.2</v>
      </c>
    </row>
    <row r="26" spans="1:5" ht="17.25" x14ac:dyDescent="0.25">
      <c r="A26" s="91" t="s">
        <v>29</v>
      </c>
      <c r="B26" s="92" t="s">
        <v>190</v>
      </c>
      <c r="C26" s="32">
        <f>C24*C25</f>
        <v>11.66138548742488</v>
      </c>
    </row>
    <row r="27" spans="1:5" ht="30" x14ac:dyDescent="0.25">
      <c r="A27" s="91" t="s">
        <v>30</v>
      </c>
      <c r="B27" s="92" t="s">
        <v>175</v>
      </c>
      <c r="C27" s="32">
        <v>10</v>
      </c>
    </row>
    <row r="28" spans="1:5" ht="15.75" x14ac:dyDescent="0.25">
      <c r="A28" s="114" t="s">
        <v>67</v>
      </c>
      <c r="B28" s="115"/>
      <c r="C28" s="116"/>
    </row>
    <row r="29" spans="1:5" x14ac:dyDescent="0.25">
      <c r="A29" s="93" t="s">
        <v>31</v>
      </c>
      <c r="B29" s="94" t="s">
        <v>159</v>
      </c>
      <c r="C29" s="34">
        <v>10</v>
      </c>
    </row>
    <row r="30" spans="1:5" ht="17.25" x14ac:dyDescent="0.25">
      <c r="A30" s="91" t="s">
        <v>32</v>
      </c>
      <c r="B30" s="92" t="s">
        <v>58</v>
      </c>
      <c r="C30" s="32">
        <f>C26-C29</f>
        <v>1.6613854874248801</v>
      </c>
    </row>
    <row r="31" spans="1:5" x14ac:dyDescent="0.25">
      <c r="A31" s="91" t="s">
        <v>33</v>
      </c>
      <c r="B31" s="99" t="s">
        <v>176</v>
      </c>
      <c r="C31" s="32">
        <f>TRUNC((C30*0.75),2)</f>
        <v>1.24</v>
      </c>
    </row>
    <row r="32" spans="1:5" ht="15.95" customHeight="1" x14ac:dyDescent="0.25">
      <c r="A32" s="91" t="s">
        <v>34</v>
      </c>
      <c r="B32" s="92" t="s">
        <v>177</v>
      </c>
      <c r="C32" s="32">
        <f>C29+C31</f>
        <v>11.24</v>
      </c>
    </row>
    <row r="33" spans="1:3" ht="30" x14ac:dyDescent="0.25">
      <c r="A33" s="91" t="s">
        <v>35</v>
      </c>
      <c r="B33" s="92" t="s">
        <v>178</v>
      </c>
      <c r="C33" s="32">
        <v>10</v>
      </c>
    </row>
    <row r="34" spans="1:3" ht="15.75" x14ac:dyDescent="0.25">
      <c r="A34" s="114" t="s">
        <v>66</v>
      </c>
      <c r="B34" s="115"/>
      <c r="C34" s="116"/>
    </row>
    <row r="35" spans="1:3" x14ac:dyDescent="0.25">
      <c r="A35" s="95" t="s">
        <v>36</v>
      </c>
      <c r="B35" s="96" t="s">
        <v>179</v>
      </c>
      <c r="C35" s="49">
        <f>MIN(C27,C33)</f>
        <v>10</v>
      </c>
    </row>
    <row r="36" spans="1:3" ht="51.75" customHeight="1" x14ac:dyDescent="0.25">
      <c r="A36" s="161" t="s">
        <v>267</v>
      </c>
      <c r="B36" s="161"/>
      <c r="C36" s="161"/>
    </row>
    <row r="37" spans="1:3" ht="47.25" customHeight="1" x14ac:dyDescent="0.25">
      <c r="A37" s="138" t="s">
        <v>167</v>
      </c>
      <c r="B37" s="138"/>
      <c r="C37" s="138"/>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44AC-8896-4FAF-B832-FCB151E05520}">
  <dimension ref="A1:C18"/>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144" t="s">
        <v>231</v>
      </c>
      <c r="B1" s="145"/>
      <c r="C1" s="146"/>
    </row>
    <row r="2" spans="1:3" ht="18.75" x14ac:dyDescent="0.25">
      <c r="A2" s="90" t="s">
        <v>23</v>
      </c>
      <c r="B2" s="90" t="s">
        <v>24</v>
      </c>
      <c r="C2" s="90" t="s">
        <v>85</v>
      </c>
    </row>
    <row r="3" spans="1:3" ht="15.75" x14ac:dyDescent="0.25">
      <c r="A3" s="114" t="s">
        <v>68</v>
      </c>
      <c r="B3" s="115"/>
      <c r="C3" s="116"/>
    </row>
    <row r="4" spans="1:3" ht="17.25" x14ac:dyDescent="0.25">
      <c r="A4" s="91" t="s">
        <v>27</v>
      </c>
      <c r="B4" s="99" t="s">
        <v>168</v>
      </c>
      <c r="C4" s="34">
        <v>333</v>
      </c>
    </row>
    <row r="5" spans="1:3" x14ac:dyDescent="0.25">
      <c r="A5" s="91" t="s">
        <v>28</v>
      </c>
      <c r="B5" s="101" t="s">
        <v>173</v>
      </c>
      <c r="C5" s="31">
        <v>0.2</v>
      </c>
    </row>
    <row r="6" spans="1:3" ht="32.25" x14ac:dyDescent="0.25">
      <c r="A6" s="91" t="s">
        <v>29</v>
      </c>
      <c r="B6" s="92" t="s">
        <v>190</v>
      </c>
      <c r="C6" s="32">
        <f>C4*C5</f>
        <v>66.600000000000009</v>
      </c>
    </row>
    <row r="7" spans="1:3" ht="30" x14ac:dyDescent="0.25">
      <c r="A7" s="91" t="s">
        <v>30</v>
      </c>
      <c r="B7" s="92" t="s">
        <v>175</v>
      </c>
      <c r="C7" s="32">
        <v>65</v>
      </c>
    </row>
    <row r="8" spans="1:3" ht="15.75" x14ac:dyDescent="0.25">
      <c r="A8" s="114" t="s">
        <v>67</v>
      </c>
      <c r="B8" s="115"/>
      <c r="C8" s="116"/>
    </row>
    <row r="9" spans="1:3" x14ac:dyDescent="0.25">
      <c r="A9" s="93" t="s">
        <v>31</v>
      </c>
      <c r="B9" s="94" t="s">
        <v>159</v>
      </c>
      <c r="C9" s="34">
        <v>30</v>
      </c>
    </row>
    <row r="10" spans="1:3" ht="32.25" x14ac:dyDescent="0.25">
      <c r="A10" s="91" t="s">
        <v>32</v>
      </c>
      <c r="B10" s="92" t="s">
        <v>58</v>
      </c>
      <c r="C10" s="32">
        <f>C6-C9</f>
        <v>36.600000000000009</v>
      </c>
    </row>
    <row r="11" spans="1:3" ht="30" x14ac:dyDescent="0.25">
      <c r="A11" s="91" t="s">
        <v>33</v>
      </c>
      <c r="B11" s="99" t="s">
        <v>176</v>
      </c>
      <c r="C11" s="32">
        <f>TRUNC((C10*0.75),2)</f>
        <v>27.45</v>
      </c>
    </row>
    <row r="12" spans="1:3" ht="30" x14ac:dyDescent="0.25">
      <c r="A12" s="91" t="s">
        <v>34</v>
      </c>
      <c r="B12" s="92" t="s">
        <v>177</v>
      </c>
      <c r="C12" s="32">
        <f>C9+C11</f>
        <v>57.45</v>
      </c>
    </row>
    <row r="13" spans="1:3" ht="30" x14ac:dyDescent="0.25">
      <c r="A13" s="91" t="s">
        <v>35</v>
      </c>
      <c r="B13" s="92" t="s">
        <v>178</v>
      </c>
      <c r="C13" s="32">
        <v>55</v>
      </c>
    </row>
    <row r="14" spans="1:3" ht="15.75" x14ac:dyDescent="0.25">
      <c r="A14" s="114" t="s">
        <v>66</v>
      </c>
      <c r="B14" s="115"/>
      <c r="C14" s="116"/>
    </row>
    <row r="15" spans="1:3" x14ac:dyDescent="0.25">
      <c r="A15" s="95" t="s">
        <v>36</v>
      </c>
      <c r="B15" s="96" t="s">
        <v>179</v>
      </c>
      <c r="C15" s="49">
        <f>MIN(C7,C13)</f>
        <v>55</v>
      </c>
    </row>
    <row r="16" spans="1:3" ht="78.75" customHeight="1" x14ac:dyDescent="0.25">
      <c r="A16" s="161" t="s">
        <v>287</v>
      </c>
      <c r="B16" s="161"/>
      <c r="C16" s="161"/>
    </row>
    <row r="17" spans="1:3" ht="62.25" customHeight="1" x14ac:dyDescent="0.25">
      <c r="A17" s="138" t="s">
        <v>167</v>
      </c>
      <c r="B17" s="138"/>
      <c r="C17" s="138"/>
    </row>
    <row r="18" spans="1:3" x14ac:dyDescent="0.25">
      <c r="A18" s="1"/>
      <c r="B18" s="1"/>
      <c r="C18" s="1"/>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E4016-1284-43FB-B4CC-4856CEA073DA}">
  <dimension ref="A1:F23"/>
  <sheetViews>
    <sheetView zoomScaleNormal="100" workbookViewId="0"/>
  </sheetViews>
  <sheetFormatPr defaultRowHeight="15" x14ac:dyDescent="0.25"/>
  <cols>
    <col min="1" max="1" width="92.42578125" customWidth="1"/>
    <col min="2" max="2" width="34.85546875" customWidth="1"/>
    <col min="3"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2" ht="18" customHeight="1" x14ac:dyDescent="0.25">
      <c r="A1" s="118" t="s">
        <v>232</v>
      </c>
      <c r="B1" s="118"/>
    </row>
    <row r="2" spans="1:2" x14ac:dyDescent="0.25">
      <c r="A2" s="10" t="s">
        <v>24</v>
      </c>
      <c r="B2" s="10" t="s">
        <v>85</v>
      </c>
    </row>
    <row r="3" spans="1:2" x14ac:dyDescent="0.25">
      <c r="A3" s="51" t="s">
        <v>93</v>
      </c>
      <c r="B3" s="59">
        <v>35</v>
      </c>
    </row>
    <row r="4" spans="1:2" x14ac:dyDescent="0.25">
      <c r="A4" s="111" t="s">
        <v>92</v>
      </c>
    </row>
    <row r="23" spans="6:6" x14ac:dyDescent="0.25">
      <c r="F23" t="s">
        <v>0</v>
      </c>
    </row>
  </sheetData>
  <pageMargins left="0.7" right="0.7" top="0.75" bottom="0.75" header="0.3" footer="0.3"/>
  <pageSetup orientation="portrait"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E71A-9235-44D4-9B4E-F04176CC240E}">
  <dimension ref="A1:C22"/>
  <sheetViews>
    <sheetView zoomScaleNormal="100" workbookViewId="0"/>
  </sheetViews>
  <sheetFormatPr defaultRowHeight="15" x14ac:dyDescent="0.25"/>
  <cols>
    <col min="1" max="1" width="17.140625" bestFit="1" customWidth="1"/>
    <col min="2" max="2" width="122.140625" customWidth="1"/>
    <col min="3" max="3" width="25.2851562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36" customHeight="1" x14ac:dyDescent="0.25">
      <c r="A1" s="152" t="s">
        <v>196</v>
      </c>
      <c r="B1" s="152"/>
      <c r="C1" s="152"/>
    </row>
    <row r="2" spans="1:3" ht="34.5" customHeight="1" x14ac:dyDescent="0.25">
      <c r="A2" s="90" t="s">
        <v>23</v>
      </c>
      <c r="B2" s="206" t="s">
        <v>21</v>
      </c>
      <c r="C2" s="98" t="s">
        <v>89</v>
      </c>
    </row>
    <row r="3" spans="1:3" x14ac:dyDescent="0.25">
      <c r="A3" s="109" t="s">
        <v>27</v>
      </c>
      <c r="B3" s="190" t="s">
        <v>88</v>
      </c>
      <c r="C3" s="191">
        <v>1717</v>
      </c>
    </row>
    <row r="4" spans="1:3" x14ac:dyDescent="0.25">
      <c r="A4" s="110" t="s">
        <v>28</v>
      </c>
      <c r="B4" s="192" t="s">
        <v>19</v>
      </c>
      <c r="C4" s="193">
        <v>4908</v>
      </c>
    </row>
    <row r="5" spans="1:3" x14ac:dyDescent="0.25">
      <c r="A5" s="52"/>
      <c r="B5" s="41"/>
      <c r="C5" s="41"/>
    </row>
    <row r="6" spans="1:3" ht="18.75" x14ac:dyDescent="0.25">
      <c r="A6" s="144" t="s">
        <v>233</v>
      </c>
      <c r="B6" s="145"/>
      <c r="C6" s="146"/>
    </row>
    <row r="7" spans="1:3" ht="18.75" x14ac:dyDescent="0.25">
      <c r="A7" s="90" t="s">
        <v>23</v>
      </c>
      <c r="B7" s="90" t="s">
        <v>24</v>
      </c>
      <c r="C7" s="90" t="s">
        <v>85</v>
      </c>
    </row>
    <row r="8" spans="1:3" ht="15.75" x14ac:dyDescent="0.25">
      <c r="A8" s="114" t="s">
        <v>68</v>
      </c>
      <c r="B8" s="115"/>
      <c r="C8" s="117"/>
    </row>
    <row r="9" spans="1:3" ht="18.95" customHeight="1" x14ac:dyDescent="0.25">
      <c r="A9" s="91" t="s">
        <v>27</v>
      </c>
      <c r="B9" s="112" t="s">
        <v>197</v>
      </c>
      <c r="C9" s="34">
        <f>MIN(C3,C4)</f>
        <v>1717</v>
      </c>
    </row>
    <row r="10" spans="1:3" x14ac:dyDescent="0.25">
      <c r="A10" s="91" t="s">
        <v>28</v>
      </c>
      <c r="B10" s="92" t="s">
        <v>173</v>
      </c>
      <c r="C10" s="31">
        <v>0.2</v>
      </c>
    </row>
    <row r="11" spans="1:3" ht="17.25" x14ac:dyDescent="0.25">
      <c r="A11" s="91" t="s">
        <v>29</v>
      </c>
      <c r="B11" s="92" t="s">
        <v>190</v>
      </c>
      <c r="C11" s="32">
        <f>C9*C10</f>
        <v>343.40000000000003</v>
      </c>
    </row>
    <row r="12" spans="1:3" ht="15.95" customHeight="1" x14ac:dyDescent="0.25">
      <c r="A12" s="91" t="s">
        <v>30</v>
      </c>
      <c r="B12" s="92" t="s">
        <v>175</v>
      </c>
      <c r="C12" s="32">
        <v>345</v>
      </c>
    </row>
    <row r="13" spans="1:3" ht="15.75" x14ac:dyDescent="0.25">
      <c r="A13" s="114" t="s">
        <v>67</v>
      </c>
      <c r="B13" s="115"/>
      <c r="C13" s="116"/>
    </row>
    <row r="14" spans="1:3" x14ac:dyDescent="0.25">
      <c r="A14" s="93" t="s">
        <v>31</v>
      </c>
      <c r="B14" s="94" t="s">
        <v>159</v>
      </c>
      <c r="C14" s="34">
        <v>75</v>
      </c>
    </row>
    <row r="15" spans="1:3" ht="17.25" x14ac:dyDescent="0.25">
      <c r="A15" s="91" t="s">
        <v>32</v>
      </c>
      <c r="B15" s="92" t="s">
        <v>58</v>
      </c>
      <c r="C15" s="32">
        <f>C11-C14</f>
        <v>268.40000000000003</v>
      </c>
    </row>
    <row r="16" spans="1:3" x14ac:dyDescent="0.25">
      <c r="A16" s="91" t="s">
        <v>33</v>
      </c>
      <c r="B16" s="99" t="s">
        <v>176</v>
      </c>
      <c r="C16" s="32">
        <f>TRUNC((C15*0.75),2)</f>
        <v>201.3</v>
      </c>
    </row>
    <row r="17" spans="1:3" ht="30" x14ac:dyDescent="0.25">
      <c r="A17" s="91" t="s">
        <v>34</v>
      </c>
      <c r="B17" s="92" t="s">
        <v>177</v>
      </c>
      <c r="C17" s="32">
        <f>C14+C16</f>
        <v>276.3</v>
      </c>
    </row>
    <row r="18" spans="1:3" ht="30" x14ac:dyDescent="0.25">
      <c r="A18" s="91" t="s">
        <v>35</v>
      </c>
      <c r="B18" s="92" t="s">
        <v>178</v>
      </c>
      <c r="C18" s="32">
        <v>275</v>
      </c>
    </row>
    <row r="19" spans="1:3" ht="15.75" x14ac:dyDescent="0.25">
      <c r="A19" s="114" t="s">
        <v>66</v>
      </c>
      <c r="B19" s="115"/>
      <c r="C19" s="116"/>
    </row>
    <row r="20" spans="1:3" x14ac:dyDescent="0.25">
      <c r="A20" s="95" t="s">
        <v>36</v>
      </c>
      <c r="B20" s="96" t="s">
        <v>179</v>
      </c>
      <c r="C20" s="49">
        <f>MIN(C12,C18)</f>
        <v>275</v>
      </c>
    </row>
    <row r="21" spans="1:3" ht="62.25" customHeight="1" x14ac:dyDescent="0.25">
      <c r="A21" s="161" t="s">
        <v>241</v>
      </c>
      <c r="B21" s="161"/>
      <c r="C21" s="161"/>
    </row>
    <row r="22" spans="1:3" ht="48.6" customHeight="1" x14ac:dyDescent="0.25">
      <c r="A22" s="138" t="s">
        <v>167</v>
      </c>
      <c r="B22" s="138"/>
      <c r="C22" s="138"/>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0642-5BD4-4BEC-93DE-536A0FAA0911}">
  <dimension ref="A1:D22"/>
  <sheetViews>
    <sheetView zoomScaleNormal="100" workbookViewId="0"/>
  </sheetViews>
  <sheetFormatPr defaultRowHeight="15" x14ac:dyDescent="0.25"/>
  <cols>
    <col min="1" max="1" width="17.140625" bestFit="1" customWidth="1"/>
    <col min="2" max="2" width="96.28515625" customWidth="1"/>
    <col min="3" max="3" width="25.71093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4" ht="18.600000000000001" customHeight="1" x14ac:dyDescent="0.25">
      <c r="A1" s="152" t="s">
        <v>198</v>
      </c>
      <c r="B1" s="152"/>
      <c r="C1" s="152"/>
    </row>
    <row r="2" spans="1:4" ht="30" x14ac:dyDescent="0.25">
      <c r="A2" s="90" t="s">
        <v>23</v>
      </c>
      <c r="B2" s="206" t="s">
        <v>21</v>
      </c>
      <c r="C2" s="98" t="s">
        <v>90</v>
      </c>
      <c r="D2" s="157"/>
    </row>
    <row r="3" spans="1:4" x14ac:dyDescent="0.25">
      <c r="A3" s="109" t="s">
        <v>27</v>
      </c>
      <c r="B3" s="194" t="s">
        <v>88</v>
      </c>
      <c r="C3" s="195">
        <v>1755</v>
      </c>
    </row>
    <row r="4" spans="1:4" x14ac:dyDescent="0.25">
      <c r="A4" s="107" t="s">
        <v>28</v>
      </c>
      <c r="B4" s="192" t="s">
        <v>19</v>
      </c>
      <c r="C4" s="193">
        <v>2618</v>
      </c>
    </row>
    <row r="5" spans="1:4" x14ac:dyDescent="0.25">
      <c r="A5" s="41"/>
      <c r="B5" s="41"/>
      <c r="C5" s="41"/>
    </row>
    <row r="6" spans="1:4" ht="18.75" x14ac:dyDescent="0.25">
      <c r="A6" s="144" t="s">
        <v>234</v>
      </c>
      <c r="B6" s="145"/>
      <c r="C6" s="146"/>
    </row>
    <row r="7" spans="1:4" ht="18.75" x14ac:dyDescent="0.25">
      <c r="A7" s="90" t="s">
        <v>23</v>
      </c>
      <c r="B7" s="90" t="s">
        <v>24</v>
      </c>
      <c r="C7" s="90" t="s">
        <v>85</v>
      </c>
    </row>
    <row r="8" spans="1:4" ht="15.75" x14ac:dyDescent="0.25">
      <c r="A8" s="114" t="s">
        <v>68</v>
      </c>
      <c r="B8" s="115"/>
      <c r="C8" s="117"/>
    </row>
    <row r="9" spans="1:4" ht="32.25" x14ac:dyDescent="0.25">
      <c r="A9" s="91" t="s">
        <v>27</v>
      </c>
      <c r="B9" s="112" t="s">
        <v>197</v>
      </c>
      <c r="C9" s="34">
        <f>MIN(C3,C4)</f>
        <v>1755</v>
      </c>
    </row>
    <row r="10" spans="1:4" x14ac:dyDescent="0.25">
      <c r="A10" s="91" t="s">
        <v>28</v>
      </c>
      <c r="B10" s="92" t="s">
        <v>173</v>
      </c>
      <c r="C10" s="31">
        <v>0.2</v>
      </c>
    </row>
    <row r="11" spans="1:4" ht="32.25" x14ac:dyDescent="0.25">
      <c r="A11" s="91" t="s">
        <v>29</v>
      </c>
      <c r="B11" s="92" t="s">
        <v>190</v>
      </c>
      <c r="C11" s="32">
        <f>C9*C10</f>
        <v>351</v>
      </c>
    </row>
    <row r="12" spans="1:4" ht="30" x14ac:dyDescent="0.25">
      <c r="A12" s="91" t="s">
        <v>30</v>
      </c>
      <c r="B12" s="92" t="s">
        <v>175</v>
      </c>
      <c r="C12" s="32">
        <v>350</v>
      </c>
    </row>
    <row r="13" spans="1:4" ht="15.75" x14ac:dyDescent="0.25">
      <c r="A13" s="114" t="s">
        <v>67</v>
      </c>
      <c r="B13" s="115"/>
      <c r="C13" s="116"/>
    </row>
    <row r="14" spans="1:4" x14ac:dyDescent="0.25">
      <c r="A14" s="93" t="s">
        <v>31</v>
      </c>
      <c r="B14" s="94" t="s">
        <v>159</v>
      </c>
      <c r="C14" s="34">
        <v>50</v>
      </c>
    </row>
    <row r="15" spans="1:4" ht="32.25" x14ac:dyDescent="0.25">
      <c r="A15" s="91" t="s">
        <v>32</v>
      </c>
      <c r="B15" s="92" t="s">
        <v>58</v>
      </c>
      <c r="C15" s="32">
        <f>C11-C14</f>
        <v>301</v>
      </c>
    </row>
    <row r="16" spans="1:4" ht="30" x14ac:dyDescent="0.25">
      <c r="A16" s="91" t="s">
        <v>33</v>
      </c>
      <c r="B16" s="99" t="s">
        <v>176</v>
      </c>
      <c r="C16" s="32">
        <f>TRUNC((C15*0.75),2)</f>
        <v>225.75</v>
      </c>
    </row>
    <row r="17" spans="1:3" ht="30" x14ac:dyDescent="0.25">
      <c r="A17" s="91" t="s">
        <v>34</v>
      </c>
      <c r="B17" s="92" t="s">
        <v>177</v>
      </c>
      <c r="C17" s="32">
        <f>C14+C16</f>
        <v>275.75</v>
      </c>
    </row>
    <row r="18" spans="1:3" ht="30" x14ac:dyDescent="0.25">
      <c r="A18" s="91" t="s">
        <v>35</v>
      </c>
      <c r="B18" s="92" t="s">
        <v>199</v>
      </c>
      <c r="C18" s="32">
        <v>275</v>
      </c>
    </row>
    <row r="19" spans="1:3" ht="15.75" x14ac:dyDescent="0.25">
      <c r="A19" s="114" t="s">
        <v>66</v>
      </c>
      <c r="B19" s="115"/>
      <c r="C19" s="116"/>
    </row>
    <row r="20" spans="1:3" x14ac:dyDescent="0.25">
      <c r="A20" s="95" t="s">
        <v>36</v>
      </c>
      <c r="B20" s="96" t="s">
        <v>179</v>
      </c>
      <c r="C20" s="49">
        <f>MIN(C12,C18)</f>
        <v>275</v>
      </c>
    </row>
    <row r="21" spans="1:3" ht="66" customHeight="1" x14ac:dyDescent="0.25">
      <c r="A21" s="161" t="s">
        <v>242</v>
      </c>
      <c r="B21" s="161"/>
      <c r="C21" s="161"/>
    </row>
    <row r="22" spans="1:3" ht="50.25" customHeight="1" x14ac:dyDescent="0.25">
      <c r="A22" s="138" t="s">
        <v>167</v>
      </c>
      <c r="B22" s="138"/>
      <c r="C22" s="13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1FA90-8C20-4016-926B-9C8AFF85EA86}">
  <dimension ref="A1:E36"/>
  <sheetViews>
    <sheetView zoomScaleNormal="100" zoomScaleSheetLayoutView="110" workbookViewId="0"/>
  </sheetViews>
  <sheetFormatPr defaultColWidth="8.7109375" defaultRowHeight="15" x14ac:dyDescent="0.25"/>
  <cols>
    <col min="1" max="1" width="13.42578125" style="1" bestFit="1" customWidth="1"/>
    <col min="2" max="2" width="78" style="1" customWidth="1"/>
    <col min="3" max="3" width="19.140625" style="1" bestFit="1" customWidth="1"/>
    <col min="4" max="5" width="9.85546875" style="1" bestFit="1" customWidth="1"/>
    <col min="6" max="8" width="11.7109375" style="1" customWidth="1"/>
    <col min="9" max="9" width="11.140625" style="1" customWidth="1"/>
    <col min="10" max="12" width="11.5703125" style="1" customWidth="1"/>
    <col min="13" max="15" width="10.85546875" style="1" customWidth="1"/>
    <col min="16" max="16384" width="8.7109375" style="1"/>
  </cols>
  <sheetData>
    <row r="1" spans="1:5" ht="18.75" x14ac:dyDescent="0.25">
      <c r="A1" s="120" t="s">
        <v>135</v>
      </c>
      <c r="B1" s="120"/>
      <c r="C1" s="120"/>
    </row>
    <row r="2" spans="1:5" ht="30" x14ac:dyDescent="0.25">
      <c r="A2" s="66" t="s">
        <v>23</v>
      </c>
      <c r="B2" s="67" t="s">
        <v>24</v>
      </c>
      <c r="C2" s="67" t="s">
        <v>53</v>
      </c>
    </row>
    <row r="3" spans="1:5" ht="17.25" x14ac:dyDescent="0.25">
      <c r="A3" s="166" t="s">
        <v>27</v>
      </c>
      <c r="B3" s="167" t="s">
        <v>102</v>
      </c>
      <c r="C3" s="162">
        <v>1712</v>
      </c>
    </row>
    <row r="4" spans="1:5" ht="17.25" x14ac:dyDescent="0.25">
      <c r="A4" s="70" t="s">
        <v>28</v>
      </c>
      <c r="B4" s="69" t="s">
        <v>280</v>
      </c>
      <c r="C4" s="163">
        <v>102</v>
      </c>
    </row>
    <row r="5" spans="1:5" ht="17.25" x14ac:dyDescent="0.25">
      <c r="A5" s="70" t="s">
        <v>29</v>
      </c>
      <c r="B5" s="69" t="s">
        <v>281</v>
      </c>
      <c r="C5" s="163">
        <v>65</v>
      </c>
    </row>
    <row r="6" spans="1:5" ht="17.25" x14ac:dyDescent="0.25">
      <c r="A6" s="70" t="s">
        <v>30</v>
      </c>
      <c r="B6" s="69" t="s">
        <v>282</v>
      </c>
      <c r="C6" s="163">
        <v>32</v>
      </c>
    </row>
    <row r="7" spans="1:5" ht="17.25" x14ac:dyDescent="0.25">
      <c r="A7" s="70" t="s">
        <v>31</v>
      </c>
      <c r="B7" s="69" t="s">
        <v>283</v>
      </c>
      <c r="C7" s="163">
        <v>28</v>
      </c>
    </row>
    <row r="8" spans="1:5" ht="17.25" x14ac:dyDescent="0.25">
      <c r="A8" s="70" t="s">
        <v>32</v>
      </c>
      <c r="B8" s="69" t="s">
        <v>284</v>
      </c>
      <c r="C8" s="163">
        <v>25</v>
      </c>
    </row>
    <row r="9" spans="1:5" ht="17.25" x14ac:dyDescent="0.25">
      <c r="A9" s="71" t="s">
        <v>33</v>
      </c>
      <c r="B9" s="72" t="s">
        <v>285</v>
      </c>
      <c r="C9" s="164">
        <v>24</v>
      </c>
    </row>
    <row r="10" spans="1:5" ht="33.75" customHeight="1" x14ac:dyDescent="0.25">
      <c r="A10" s="165" t="s">
        <v>236</v>
      </c>
      <c r="B10" s="165"/>
      <c r="C10" s="165"/>
    </row>
    <row r="11" spans="1:5" ht="19.5" customHeight="1" x14ac:dyDescent="0.25">
      <c r="A11" s="130" t="s">
        <v>134</v>
      </c>
      <c r="B11" s="130"/>
      <c r="C11" s="130"/>
    </row>
    <row r="12" spans="1:5" x14ac:dyDescent="0.25">
      <c r="A12" s="6"/>
      <c r="B12" s="6"/>
      <c r="C12" s="6"/>
    </row>
    <row r="13" spans="1:5" ht="39" customHeight="1" x14ac:dyDescent="0.25">
      <c r="A13" s="131" t="s">
        <v>208</v>
      </c>
      <c r="B13" s="132"/>
      <c r="C13" s="132"/>
      <c r="D13" s="132"/>
      <c r="E13" s="133"/>
    </row>
    <row r="14" spans="1:5" ht="30" x14ac:dyDescent="0.25">
      <c r="A14" s="80" t="s">
        <v>23</v>
      </c>
      <c r="B14" s="81" t="s">
        <v>24</v>
      </c>
      <c r="C14" s="66" t="s">
        <v>45</v>
      </c>
      <c r="D14" s="66" t="s">
        <v>46</v>
      </c>
      <c r="E14" s="66" t="s">
        <v>47</v>
      </c>
    </row>
    <row r="15" spans="1:5" x14ac:dyDescent="0.25">
      <c r="A15" s="70" t="s">
        <v>27</v>
      </c>
      <c r="B15" s="74" t="s">
        <v>48</v>
      </c>
      <c r="C15" s="123">
        <f>C3</f>
        <v>1712</v>
      </c>
      <c r="D15" s="124"/>
      <c r="E15" s="125"/>
    </row>
    <row r="16" spans="1:5" ht="45" x14ac:dyDescent="0.25">
      <c r="A16" s="70" t="s">
        <v>28</v>
      </c>
      <c r="B16" s="75" t="s">
        <v>286</v>
      </c>
      <c r="C16" s="7">
        <f>SUM(C4:C8)+(C9*3)</f>
        <v>324</v>
      </c>
      <c r="D16" s="7">
        <f>SUM(C4:C8)+(C9*10)</f>
        <v>492</v>
      </c>
      <c r="E16" s="22">
        <f>SUM(C4:C8)+(C9*55)</f>
        <v>1572</v>
      </c>
    </row>
    <row r="17" spans="1:5" ht="30" x14ac:dyDescent="0.25">
      <c r="A17" s="76" t="s">
        <v>29</v>
      </c>
      <c r="B17" s="77" t="s">
        <v>108</v>
      </c>
      <c r="C17" s="7">
        <f>C15+C16</f>
        <v>2036</v>
      </c>
      <c r="D17" s="7">
        <f>C15+D16</f>
        <v>2204</v>
      </c>
      <c r="E17" s="23">
        <f>C15+E16</f>
        <v>3284</v>
      </c>
    </row>
    <row r="18" spans="1:5" ht="30" x14ac:dyDescent="0.25">
      <c r="A18" s="76" t="s">
        <v>30</v>
      </c>
      <c r="B18" s="77" t="s">
        <v>109</v>
      </c>
      <c r="C18" s="129">
        <f>'MOOP Limits'!D7</f>
        <v>9350</v>
      </c>
      <c r="D18" s="121"/>
      <c r="E18" s="122"/>
    </row>
    <row r="19" spans="1:5" ht="45" x14ac:dyDescent="0.25">
      <c r="A19" s="76" t="s">
        <v>31</v>
      </c>
      <c r="B19" s="77" t="s">
        <v>136</v>
      </c>
      <c r="C19" s="8">
        <f>MIN(C17, C18)</f>
        <v>2036</v>
      </c>
      <c r="D19" s="8">
        <f>MIN(D17, C18)</f>
        <v>2204</v>
      </c>
      <c r="E19" s="53">
        <f>MIN(E17, C18)</f>
        <v>3284</v>
      </c>
    </row>
    <row r="20" spans="1:5" ht="30" x14ac:dyDescent="0.25">
      <c r="A20" s="78" t="s">
        <v>32</v>
      </c>
      <c r="B20" s="79" t="s">
        <v>139</v>
      </c>
      <c r="C20" s="45">
        <v>2036</v>
      </c>
      <c r="D20" s="45">
        <v>2204</v>
      </c>
      <c r="E20" s="45">
        <v>3284</v>
      </c>
    </row>
    <row r="22" spans="1:5" ht="36.950000000000003" customHeight="1" x14ac:dyDescent="0.25">
      <c r="A22" s="131" t="s">
        <v>209</v>
      </c>
      <c r="B22" s="132"/>
      <c r="C22" s="132"/>
      <c r="D22" s="132"/>
      <c r="E22" s="133"/>
    </row>
    <row r="23" spans="1:5" ht="30" x14ac:dyDescent="0.25">
      <c r="A23" s="80" t="s">
        <v>23</v>
      </c>
      <c r="B23" s="81" t="s">
        <v>24</v>
      </c>
      <c r="C23" s="80" t="s">
        <v>45</v>
      </c>
      <c r="D23" s="80" t="s">
        <v>46</v>
      </c>
      <c r="E23" s="80" t="s">
        <v>47</v>
      </c>
    </row>
    <row r="24" spans="1:5" ht="30" x14ac:dyDescent="0.25">
      <c r="A24" s="70" t="s">
        <v>27</v>
      </c>
      <c r="B24" s="74" t="s">
        <v>140</v>
      </c>
      <c r="C24" s="7">
        <f>C17*1.25</f>
        <v>2545</v>
      </c>
      <c r="D24" s="7">
        <f>D17*1.25</f>
        <v>2755</v>
      </c>
      <c r="E24" s="22">
        <f>E17*1.25</f>
        <v>4105</v>
      </c>
    </row>
    <row r="25" spans="1:5" ht="30" x14ac:dyDescent="0.25">
      <c r="A25" s="76" t="s">
        <v>28</v>
      </c>
      <c r="B25" s="77" t="s">
        <v>141</v>
      </c>
      <c r="C25" s="129">
        <f>'MOOP Limits'!C7</f>
        <v>4150</v>
      </c>
      <c r="D25" s="121"/>
      <c r="E25" s="122"/>
    </row>
    <row r="26" spans="1:5" ht="30" x14ac:dyDescent="0.25">
      <c r="A26" s="76" t="s">
        <v>29</v>
      </c>
      <c r="B26" s="77" t="s">
        <v>142</v>
      </c>
      <c r="C26" s="8">
        <f>MIN(C24, C25)</f>
        <v>2545</v>
      </c>
      <c r="D26" s="8">
        <f>MIN(D24, C25)</f>
        <v>2755</v>
      </c>
      <c r="E26" s="50">
        <f>MIN(E24,C25)</f>
        <v>4105</v>
      </c>
    </row>
    <row r="27" spans="1:5" ht="30" x14ac:dyDescent="0.25">
      <c r="A27" s="78" t="s">
        <v>30</v>
      </c>
      <c r="B27" s="79" t="s">
        <v>143</v>
      </c>
      <c r="C27" s="44">
        <v>2545</v>
      </c>
      <c r="D27" s="44">
        <v>2755</v>
      </c>
      <c r="E27" s="44">
        <v>4105</v>
      </c>
    </row>
    <row r="29" spans="1:5" ht="36.950000000000003" customHeight="1" x14ac:dyDescent="0.25">
      <c r="A29" s="131" t="s">
        <v>210</v>
      </c>
      <c r="B29" s="132"/>
      <c r="C29" s="132"/>
      <c r="D29" s="132"/>
      <c r="E29" s="133"/>
    </row>
    <row r="30" spans="1:5" ht="30" x14ac:dyDescent="0.25">
      <c r="A30" s="84" t="s">
        <v>23</v>
      </c>
      <c r="B30" s="85" t="s">
        <v>24</v>
      </c>
      <c r="C30" s="70" t="s">
        <v>45</v>
      </c>
      <c r="D30" s="70" t="s">
        <v>46</v>
      </c>
      <c r="E30" s="70" t="s">
        <v>47</v>
      </c>
    </row>
    <row r="31" spans="1:5" ht="30" x14ac:dyDescent="0.25">
      <c r="A31" s="70" t="s">
        <v>27</v>
      </c>
      <c r="B31" s="74" t="s">
        <v>145</v>
      </c>
      <c r="C31" s="24">
        <f>C19</f>
        <v>2036</v>
      </c>
      <c r="D31" s="9">
        <f>D19</f>
        <v>2204</v>
      </c>
      <c r="E31" s="25">
        <f>E19</f>
        <v>3284</v>
      </c>
    </row>
    <row r="32" spans="1:5" ht="30" x14ac:dyDescent="0.25">
      <c r="A32" s="70" t="s">
        <v>28</v>
      </c>
      <c r="B32" s="77" t="s">
        <v>144</v>
      </c>
      <c r="C32" s="7">
        <f>C26</f>
        <v>2545</v>
      </c>
      <c r="D32" s="7">
        <f>D26</f>
        <v>2755</v>
      </c>
      <c r="E32" s="22">
        <f>E26</f>
        <v>4105</v>
      </c>
    </row>
    <row r="33" spans="1:5" ht="45" x14ac:dyDescent="0.25">
      <c r="A33" s="70" t="s">
        <v>29</v>
      </c>
      <c r="B33" s="69" t="s">
        <v>146</v>
      </c>
      <c r="C33" s="27">
        <f>((C32-C31)/2)+C31</f>
        <v>2290.5</v>
      </c>
      <c r="D33" s="7">
        <f>((D32-D31)/2)+D31</f>
        <v>2479.5</v>
      </c>
      <c r="E33" s="23">
        <f>((E32-E31)/2)+E31</f>
        <v>3694.5</v>
      </c>
    </row>
    <row r="34" spans="1:5" ht="30" x14ac:dyDescent="0.25">
      <c r="A34" s="76" t="s">
        <v>30</v>
      </c>
      <c r="B34" s="69" t="s">
        <v>115</v>
      </c>
      <c r="C34" s="129">
        <f>'MOOP Limits'!C17</f>
        <v>6750</v>
      </c>
      <c r="D34" s="121"/>
      <c r="E34" s="122"/>
    </row>
    <row r="35" spans="1:5" ht="30.6" customHeight="1" x14ac:dyDescent="0.25">
      <c r="A35" s="86" t="s">
        <v>31</v>
      </c>
      <c r="B35" s="72" t="s">
        <v>148</v>
      </c>
      <c r="C35" s="26">
        <f>MIN(C33,C34)</f>
        <v>2290.5</v>
      </c>
      <c r="D35" s="26">
        <f>MIN(D33,C34)</f>
        <v>2479.5</v>
      </c>
      <c r="E35" s="28">
        <f>MIN(E33,C34)</f>
        <v>3694.5</v>
      </c>
    </row>
    <row r="36" spans="1:5" ht="30" x14ac:dyDescent="0.25">
      <c r="A36" s="87" t="s">
        <v>32</v>
      </c>
      <c r="B36" s="88" t="s">
        <v>147</v>
      </c>
      <c r="C36" s="46">
        <v>2290</v>
      </c>
      <c r="D36" s="46">
        <v>2479</v>
      </c>
      <c r="E36" s="46">
        <v>3694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
  <sheetViews>
    <sheetView zoomScaleNormal="100" workbookViewId="0"/>
  </sheetViews>
  <sheetFormatPr defaultColWidth="8.7109375" defaultRowHeight="15" x14ac:dyDescent="0.25"/>
  <cols>
    <col min="1" max="1" width="62.28515625" customWidth="1"/>
    <col min="2" max="2" width="71.28515625" customWidth="1"/>
    <col min="3" max="3" width="33.5703125" customWidth="1"/>
    <col min="4" max="4" width="31.28515625" customWidth="1"/>
    <col min="5" max="5" width="18" bestFit="1" customWidth="1"/>
    <col min="6" max="6" width="10.85546875" customWidth="1"/>
    <col min="7" max="9" width="11.140625" customWidth="1"/>
    <col min="10" max="12" width="11.5703125" customWidth="1"/>
    <col min="13" max="15" width="10.85546875" customWidth="1"/>
  </cols>
  <sheetData>
    <row r="1" spans="1:4" ht="18.75" x14ac:dyDescent="0.25">
      <c r="A1" s="118" t="s">
        <v>211</v>
      </c>
      <c r="B1" s="118"/>
      <c r="C1" s="118"/>
      <c r="D1" s="118"/>
    </row>
    <row r="2" spans="1:4" x14ac:dyDescent="0.25">
      <c r="A2" s="10" t="s">
        <v>24</v>
      </c>
      <c r="B2" s="10" t="s">
        <v>4</v>
      </c>
      <c r="C2" s="10" t="s">
        <v>3</v>
      </c>
      <c r="D2" s="10" t="s">
        <v>2</v>
      </c>
    </row>
    <row r="3" spans="1:4" ht="30" x14ac:dyDescent="0.25">
      <c r="A3" s="11" t="s">
        <v>151</v>
      </c>
      <c r="B3" s="59" t="s">
        <v>95</v>
      </c>
      <c r="C3" s="59" t="s">
        <v>96</v>
      </c>
      <c r="D3" s="59" t="s">
        <v>97</v>
      </c>
    </row>
    <row r="6" spans="1:4" ht="36.6" customHeight="1" x14ac:dyDescent="0.25">
      <c r="A6" s="118" t="s">
        <v>212</v>
      </c>
      <c r="B6" s="118"/>
      <c r="C6" s="118"/>
    </row>
    <row r="7" spans="1:4" x14ac:dyDescent="0.25">
      <c r="A7" s="10" t="s">
        <v>23</v>
      </c>
      <c r="B7" s="10" t="s">
        <v>24</v>
      </c>
      <c r="C7" s="10" t="s">
        <v>52</v>
      </c>
    </row>
    <row r="8" spans="1:4" x14ac:dyDescent="0.25">
      <c r="A8" s="13" t="s">
        <v>27</v>
      </c>
      <c r="B8" s="12" t="s">
        <v>150</v>
      </c>
      <c r="C8" s="55">
        <v>1712</v>
      </c>
    </row>
    <row r="9" spans="1:4" ht="30" x14ac:dyDescent="0.25">
      <c r="A9" s="14" t="s">
        <v>28</v>
      </c>
      <c r="B9" s="15" t="s">
        <v>54</v>
      </c>
      <c r="C9" s="57">
        <f>C8*(1/8)</f>
        <v>214</v>
      </c>
    </row>
    <row r="10" spans="1:4" ht="30" x14ac:dyDescent="0.25">
      <c r="A10" s="47" t="s">
        <v>29</v>
      </c>
      <c r="B10" s="48" t="s">
        <v>152</v>
      </c>
      <c r="C10" s="89" t="s">
        <v>252</v>
      </c>
    </row>
    <row r="11" spans="1:4" ht="29.45" customHeight="1" x14ac:dyDescent="0.25">
      <c r="A11" s="168" t="s">
        <v>237</v>
      </c>
      <c r="B11" s="168"/>
      <c r="C11" s="16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1"/>
  <dimension ref="A1:Z30"/>
  <sheetViews>
    <sheetView zoomScaleNormal="100" workbookViewId="0"/>
  </sheetViews>
  <sheetFormatPr defaultRowHeight="15" x14ac:dyDescent="0.25"/>
  <cols>
    <col min="1" max="1" width="16.85546875" bestFit="1" customWidth="1"/>
    <col min="2" max="2" width="96.140625" customWidth="1"/>
    <col min="3" max="3" width="15.42578125" bestFit="1" customWidth="1"/>
    <col min="4" max="4" width="23" bestFit="1" customWidth="1"/>
    <col min="5" max="5" width="21" bestFit="1" customWidth="1"/>
    <col min="6" max="6" width="11.7109375" customWidth="1"/>
    <col min="7" max="7" width="18.28515625" bestFit="1" customWidth="1"/>
    <col min="8" max="8" width="12" bestFit="1" customWidth="1"/>
    <col min="9" max="9" width="13.42578125" bestFit="1" customWidth="1"/>
    <col min="10" max="10" width="153.140625" bestFit="1" customWidth="1"/>
    <col min="11" max="11" width="15.42578125" bestFit="1" customWidth="1"/>
    <col min="12" max="12" width="10.5703125" bestFit="1" customWidth="1"/>
    <col min="13" max="13" width="12.7109375" bestFit="1" customWidth="1"/>
    <col min="14" max="14" width="10.5703125" bestFit="1" customWidth="1"/>
    <col min="15" max="15" width="12.7109375" bestFit="1" customWidth="1"/>
    <col min="16" max="19" width="13.28515625" customWidth="1"/>
    <col min="20" max="20" width="19.5703125" customWidth="1"/>
    <col min="21" max="21" width="10.42578125" customWidth="1"/>
    <col min="22" max="22" width="10.140625" bestFit="1" customWidth="1"/>
    <col min="23" max="23" width="12.140625" bestFit="1" customWidth="1"/>
    <col min="24" max="24" width="15.85546875" customWidth="1"/>
    <col min="26" max="26" width="18.85546875" customWidth="1"/>
    <col min="27" max="27" width="6.5703125" customWidth="1"/>
    <col min="28" max="28" width="10.140625" bestFit="1" customWidth="1"/>
    <col min="29" max="29" width="12.140625" bestFit="1" customWidth="1"/>
    <col min="32" max="32" width="15.42578125" bestFit="1" customWidth="1"/>
    <col min="33" max="33" width="7" bestFit="1" customWidth="1"/>
    <col min="34" max="34" width="11.7109375" customWidth="1"/>
  </cols>
  <sheetData>
    <row r="1" spans="1:26" ht="18.75" x14ac:dyDescent="0.25">
      <c r="A1" s="134" t="s">
        <v>213</v>
      </c>
      <c r="B1" s="135"/>
      <c r="C1" s="135"/>
      <c r="D1" s="135"/>
      <c r="E1" s="135"/>
      <c r="T1" s="4"/>
      <c r="V1" s="4"/>
      <c r="Z1" s="4"/>
    </row>
    <row r="2" spans="1:26" ht="18.75" x14ac:dyDescent="0.25">
      <c r="A2" s="90" t="s">
        <v>23</v>
      </c>
      <c r="B2" s="90" t="s">
        <v>24</v>
      </c>
      <c r="C2" s="155" t="s">
        <v>4</v>
      </c>
      <c r="D2" s="155" t="s">
        <v>3</v>
      </c>
      <c r="E2" s="90" t="s">
        <v>2</v>
      </c>
    </row>
    <row r="3" spans="1:26" ht="15.75" x14ac:dyDescent="0.25">
      <c r="A3" s="113" t="s">
        <v>68</v>
      </c>
      <c r="B3" s="114"/>
      <c r="C3" s="156"/>
      <c r="D3" s="156"/>
      <c r="E3" s="154"/>
    </row>
    <row r="4" spans="1:26" ht="17.25" x14ac:dyDescent="0.25">
      <c r="A4" s="91" t="s">
        <v>27</v>
      </c>
      <c r="B4" s="92" t="s">
        <v>155</v>
      </c>
      <c r="C4" s="151">
        <v>97</v>
      </c>
      <c r="D4" s="151"/>
      <c r="E4" s="136"/>
    </row>
    <row r="5" spans="1:26" x14ac:dyDescent="0.25">
      <c r="A5" s="91" t="s">
        <v>28</v>
      </c>
      <c r="B5" s="92" t="s">
        <v>156</v>
      </c>
      <c r="C5" s="31">
        <v>0.5</v>
      </c>
      <c r="D5" s="31">
        <v>0.42</v>
      </c>
      <c r="E5" s="31">
        <v>0.35</v>
      </c>
      <c r="I5" s="2"/>
      <c r="J5" s="2"/>
      <c r="K5" s="3"/>
    </row>
    <row r="6" spans="1:26" ht="30" x14ac:dyDescent="0.25">
      <c r="A6" s="91" t="s">
        <v>29</v>
      </c>
      <c r="B6" s="92" t="s">
        <v>157</v>
      </c>
      <c r="C6" s="32">
        <f>C4*C5</f>
        <v>48.5</v>
      </c>
      <c r="D6" s="32">
        <f>C4*D5</f>
        <v>40.74</v>
      </c>
      <c r="E6" s="32">
        <f>C4*E5</f>
        <v>33.949999999999996</v>
      </c>
    </row>
    <row r="7" spans="1:26" ht="30" x14ac:dyDescent="0.25">
      <c r="A7" s="91" t="s">
        <v>30</v>
      </c>
      <c r="B7" s="92" t="s">
        <v>158</v>
      </c>
      <c r="C7" s="32">
        <v>50</v>
      </c>
      <c r="D7" s="32">
        <v>40</v>
      </c>
      <c r="E7" s="32">
        <v>35</v>
      </c>
    </row>
    <row r="8" spans="1:26" ht="15.75" x14ac:dyDescent="0.25">
      <c r="A8" s="113" t="s">
        <v>67</v>
      </c>
      <c r="B8" s="114"/>
      <c r="C8" s="156"/>
      <c r="D8" s="156"/>
      <c r="E8" s="154"/>
    </row>
    <row r="9" spans="1:26" x14ac:dyDescent="0.25">
      <c r="A9" s="93" t="s">
        <v>31</v>
      </c>
      <c r="B9" s="94" t="s">
        <v>159</v>
      </c>
      <c r="C9" s="34">
        <v>50</v>
      </c>
      <c r="D9" s="33" t="s">
        <v>1</v>
      </c>
      <c r="E9" s="34">
        <v>50</v>
      </c>
    </row>
    <row r="10" spans="1:26" x14ac:dyDescent="0.25">
      <c r="A10" s="91" t="s">
        <v>32</v>
      </c>
      <c r="B10" s="92" t="s">
        <v>160</v>
      </c>
      <c r="C10" s="31">
        <v>0.5</v>
      </c>
      <c r="D10" s="31">
        <v>0.4</v>
      </c>
      <c r="E10" s="31">
        <v>0.3</v>
      </c>
    </row>
    <row r="11" spans="1:26" ht="30" x14ac:dyDescent="0.25">
      <c r="A11" s="91" t="s">
        <v>33</v>
      </c>
      <c r="B11" s="92" t="s">
        <v>161</v>
      </c>
      <c r="C11" s="32">
        <f>C4*C10</f>
        <v>48.5</v>
      </c>
      <c r="D11" s="32">
        <f>C4*D10</f>
        <v>38.800000000000004</v>
      </c>
      <c r="E11" s="32">
        <f>C4*E10</f>
        <v>29.099999999999998</v>
      </c>
    </row>
    <row r="12" spans="1:26" ht="32.25" x14ac:dyDescent="0.25">
      <c r="A12" s="91" t="s">
        <v>34</v>
      </c>
      <c r="B12" s="92" t="s">
        <v>55</v>
      </c>
      <c r="C12" s="32">
        <f>C11-C9</f>
        <v>-1.5</v>
      </c>
      <c r="D12" s="32">
        <f>D11-E9</f>
        <v>-11.199999999999996</v>
      </c>
      <c r="E12" s="32">
        <f>E11-E9</f>
        <v>-20.900000000000002</v>
      </c>
    </row>
    <row r="13" spans="1:26" ht="30" x14ac:dyDescent="0.25">
      <c r="A13" s="91" t="s">
        <v>35</v>
      </c>
      <c r="B13" s="92" t="s">
        <v>153</v>
      </c>
      <c r="C13" s="32">
        <f>TRUNC((C12*0.75),2)</f>
        <v>-1.1200000000000001</v>
      </c>
      <c r="D13" s="32">
        <f t="shared" ref="D13:E13" si="0">TRUNC((D12*0.75),2)</f>
        <v>-8.4</v>
      </c>
      <c r="E13" s="32">
        <f t="shared" si="0"/>
        <v>-15.67</v>
      </c>
    </row>
    <row r="14" spans="1:26" ht="32.25" x14ac:dyDescent="0.25">
      <c r="A14" s="91" t="s">
        <v>36</v>
      </c>
      <c r="B14" s="92" t="s">
        <v>162</v>
      </c>
      <c r="C14" s="32">
        <f>C9+C13</f>
        <v>48.88</v>
      </c>
      <c r="D14" s="32">
        <f>E9+D13</f>
        <v>41.6</v>
      </c>
      <c r="E14" s="32">
        <f>E9+E13</f>
        <v>34.33</v>
      </c>
    </row>
    <row r="15" spans="1:26" ht="30" x14ac:dyDescent="0.25">
      <c r="A15" s="91" t="s">
        <v>37</v>
      </c>
      <c r="B15" s="92" t="s">
        <v>163</v>
      </c>
      <c r="C15" s="32">
        <v>50</v>
      </c>
      <c r="D15" s="32">
        <v>40</v>
      </c>
      <c r="E15" s="32">
        <v>35</v>
      </c>
    </row>
    <row r="16" spans="1:26" ht="15.75" x14ac:dyDescent="0.25">
      <c r="A16" s="113" t="s">
        <v>66</v>
      </c>
      <c r="B16" s="114"/>
      <c r="C16" s="156"/>
      <c r="D16" s="156"/>
      <c r="E16" s="154"/>
    </row>
    <row r="17" spans="1:5" x14ac:dyDescent="0.25">
      <c r="A17" s="95" t="s">
        <v>38</v>
      </c>
      <c r="B17" s="96" t="s">
        <v>164</v>
      </c>
      <c r="C17" s="49">
        <f>MIN(C7,C15)</f>
        <v>50</v>
      </c>
      <c r="D17" s="49">
        <f t="shared" ref="D17:E17" si="1">MIN(D7,D15)</f>
        <v>40</v>
      </c>
      <c r="E17" s="49">
        <f t="shared" si="1"/>
        <v>35</v>
      </c>
    </row>
    <row r="18" spans="1:5" ht="93.75" customHeight="1" x14ac:dyDescent="0.25">
      <c r="A18" s="137" t="s">
        <v>269</v>
      </c>
      <c r="B18" s="137"/>
      <c r="C18" s="137"/>
      <c r="D18" s="137"/>
      <c r="E18" s="137"/>
    </row>
    <row r="19" spans="1:5" ht="16.5" customHeight="1" x14ac:dyDescent="0.25">
      <c r="A19" s="138" t="s">
        <v>154</v>
      </c>
      <c r="B19" s="138"/>
      <c r="C19" s="138"/>
      <c r="D19" s="138"/>
      <c r="E19" s="138"/>
    </row>
    <row r="20" spans="1:5" x14ac:dyDescent="0.25">
      <c r="A20" s="30"/>
      <c r="B20" s="30"/>
      <c r="C20" s="30"/>
      <c r="D20" s="30"/>
      <c r="E20" s="30"/>
    </row>
    <row r="21" spans="1:5" x14ac:dyDescent="0.25">
      <c r="A21" s="30"/>
      <c r="B21" s="30" t="s">
        <v>0</v>
      </c>
      <c r="C21" s="30"/>
      <c r="D21" s="30"/>
      <c r="E21" s="30"/>
    </row>
    <row r="22" spans="1:5" x14ac:dyDescent="0.25">
      <c r="A22" s="30"/>
      <c r="B22" s="30"/>
      <c r="C22" s="30"/>
      <c r="D22" s="30"/>
      <c r="E22" s="30"/>
    </row>
    <row r="23" spans="1:5" x14ac:dyDescent="0.25">
      <c r="A23" s="30"/>
      <c r="B23" s="30"/>
      <c r="C23" s="30"/>
      <c r="D23" s="30"/>
      <c r="E23" s="30"/>
    </row>
    <row r="24" spans="1:5" x14ac:dyDescent="0.25">
      <c r="A24" s="30"/>
      <c r="B24" s="30"/>
      <c r="C24" s="30"/>
      <c r="D24" s="30"/>
      <c r="E24" s="30"/>
    </row>
    <row r="25" spans="1:5" x14ac:dyDescent="0.25">
      <c r="A25" s="30"/>
      <c r="B25" s="30"/>
      <c r="C25" s="30"/>
      <c r="D25" s="30"/>
      <c r="E25" s="30"/>
    </row>
    <row r="26" spans="1:5" x14ac:dyDescent="0.25">
      <c r="A26" s="30"/>
      <c r="B26" s="30"/>
      <c r="C26" s="30"/>
      <c r="D26" s="30"/>
      <c r="E26" s="30"/>
    </row>
    <row r="27" spans="1:5" x14ac:dyDescent="0.25">
      <c r="A27" s="30"/>
      <c r="B27" s="30"/>
      <c r="C27" s="30"/>
      <c r="D27" s="30"/>
      <c r="E27" s="30"/>
    </row>
    <row r="28" spans="1:5" x14ac:dyDescent="0.25">
      <c r="A28" s="30"/>
      <c r="B28" s="30"/>
      <c r="C28" s="30"/>
      <c r="D28" s="30"/>
      <c r="E28" s="30"/>
    </row>
    <row r="29" spans="1:5" x14ac:dyDescent="0.25">
      <c r="A29" s="30"/>
      <c r="B29" s="30"/>
      <c r="C29" s="30"/>
      <c r="D29" s="30"/>
      <c r="E29" s="30"/>
    </row>
    <row r="30" spans="1:5" x14ac:dyDescent="0.25">
      <c r="A30" s="30"/>
      <c r="B30" s="30"/>
      <c r="C30" s="30"/>
      <c r="D30" s="30"/>
      <c r="E30" s="30"/>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20"/>
  <sheetViews>
    <sheetView zoomScaleNormal="100" workbookViewId="0"/>
  </sheetViews>
  <sheetFormatPr defaultRowHeight="15" x14ac:dyDescent="0.25"/>
  <cols>
    <col min="1" max="1" width="17.140625" bestFit="1" customWidth="1"/>
    <col min="2" max="2" width="81.85546875" customWidth="1"/>
    <col min="3" max="3" width="16.140625" bestFit="1" customWidth="1"/>
    <col min="4" max="4" width="22.85546875" bestFit="1" customWidth="1"/>
    <col min="5" max="5" width="21" bestFit="1" customWidth="1"/>
    <col min="6" max="6" width="6.5703125" customWidth="1"/>
    <col min="7" max="7" width="6.5703125" bestFit="1" customWidth="1"/>
    <col min="8" max="8" width="12.85546875" customWidth="1"/>
    <col min="9" max="9" width="18.28515625" bestFit="1" customWidth="1"/>
    <col min="10" max="10" width="12.140625" bestFit="1" customWidth="1"/>
    <col min="11" max="11" width="18.42578125" bestFit="1" customWidth="1"/>
    <col min="12" max="12" width="16.85546875" bestFit="1" customWidth="1"/>
    <col min="13" max="13" width="13.28515625" customWidth="1"/>
    <col min="14" max="15" width="24.140625" customWidth="1"/>
    <col min="16" max="21" width="13.28515625" customWidth="1"/>
    <col min="22" max="22" width="19.5703125" customWidth="1"/>
    <col min="23" max="23" width="10.42578125" customWidth="1"/>
    <col min="24" max="24" width="10.140625" bestFit="1" customWidth="1"/>
    <col min="25" max="25" width="12.140625" bestFit="1" customWidth="1"/>
    <col min="26" max="26" width="15.85546875" customWidth="1"/>
    <col min="28" max="28" width="18.85546875" customWidth="1"/>
    <col min="29" max="29" width="6.5703125" customWidth="1"/>
    <col min="30" max="30" width="10.140625" bestFit="1" customWidth="1"/>
    <col min="31" max="31" width="12.140625" bestFit="1" customWidth="1"/>
    <col min="34" max="34" width="15.42578125" bestFit="1" customWidth="1"/>
    <col min="35" max="35" width="7" bestFit="1" customWidth="1"/>
    <col min="36" max="36" width="11.7109375" customWidth="1"/>
  </cols>
  <sheetData>
    <row r="1" spans="1:8" ht="18.75" x14ac:dyDescent="0.25">
      <c r="A1" s="134" t="s">
        <v>214</v>
      </c>
      <c r="B1" s="135"/>
      <c r="C1" s="135"/>
      <c r="D1" s="135"/>
      <c r="E1" s="135"/>
    </row>
    <row r="2" spans="1:8" ht="18.75" x14ac:dyDescent="0.25">
      <c r="A2" s="90" t="s">
        <v>23</v>
      </c>
      <c r="B2" s="90" t="s">
        <v>24</v>
      </c>
      <c r="C2" s="90" t="s">
        <v>4</v>
      </c>
      <c r="D2" s="90" t="s">
        <v>3</v>
      </c>
      <c r="E2" s="90" t="s">
        <v>2</v>
      </c>
    </row>
    <row r="3" spans="1:8" ht="15.75" x14ac:dyDescent="0.25">
      <c r="A3" s="113" t="s">
        <v>68</v>
      </c>
      <c r="B3" s="114"/>
      <c r="C3" s="115"/>
      <c r="D3" s="115"/>
      <c r="E3" s="116"/>
    </row>
    <row r="4" spans="1:8" ht="17.25" x14ac:dyDescent="0.25">
      <c r="A4" s="91" t="s">
        <v>27</v>
      </c>
      <c r="B4" s="92" t="s">
        <v>155</v>
      </c>
      <c r="C4" s="136">
        <v>132</v>
      </c>
      <c r="D4" s="136"/>
      <c r="E4" s="136"/>
      <c r="H4" s="3"/>
    </row>
    <row r="5" spans="1:8" x14ac:dyDescent="0.25">
      <c r="A5" s="91" t="s">
        <v>28</v>
      </c>
      <c r="B5" s="92" t="s">
        <v>156</v>
      </c>
      <c r="C5" s="31">
        <v>0.5</v>
      </c>
      <c r="D5" s="31">
        <v>0.42</v>
      </c>
      <c r="E5" s="31">
        <v>0.35</v>
      </c>
    </row>
    <row r="6" spans="1:8" ht="30" x14ac:dyDescent="0.25">
      <c r="A6" s="91" t="s">
        <v>29</v>
      </c>
      <c r="B6" s="92" t="s">
        <v>157</v>
      </c>
      <c r="C6" s="32">
        <f>C4*C5</f>
        <v>66</v>
      </c>
      <c r="D6" s="32">
        <f>C4*D5</f>
        <v>55.44</v>
      </c>
      <c r="E6" s="32">
        <f>C4*E5</f>
        <v>46.199999999999996</v>
      </c>
    </row>
    <row r="7" spans="1:8" ht="30" x14ac:dyDescent="0.25">
      <c r="A7" s="91" t="s">
        <v>30</v>
      </c>
      <c r="B7" s="92" t="s">
        <v>158</v>
      </c>
      <c r="C7" s="32">
        <v>65</v>
      </c>
      <c r="D7" s="32">
        <v>55</v>
      </c>
      <c r="E7" s="32">
        <v>45</v>
      </c>
    </row>
    <row r="8" spans="1:8" ht="15.75" x14ac:dyDescent="0.25">
      <c r="A8" s="113" t="s">
        <v>67</v>
      </c>
      <c r="B8" s="114"/>
      <c r="C8" s="115"/>
      <c r="D8" s="115"/>
      <c r="E8" s="116"/>
    </row>
    <row r="9" spans="1:8" x14ac:dyDescent="0.25">
      <c r="A9" s="93" t="s">
        <v>31</v>
      </c>
      <c r="B9" s="94" t="s">
        <v>159</v>
      </c>
      <c r="C9" s="34">
        <v>100</v>
      </c>
      <c r="D9" s="33" t="s">
        <v>1</v>
      </c>
      <c r="E9" s="34">
        <v>100</v>
      </c>
    </row>
    <row r="10" spans="1:8" x14ac:dyDescent="0.25">
      <c r="A10" s="91" t="s">
        <v>32</v>
      </c>
      <c r="B10" s="92" t="s">
        <v>160</v>
      </c>
      <c r="C10" s="31">
        <v>0.5</v>
      </c>
      <c r="D10" s="31">
        <v>0.4</v>
      </c>
      <c r="E10" s="31">
        <v>0.3</v>
      </c>
    </row>
    <row r="11" spans="1:8" ht="30" x14ac:dyDescent="0.25">
      <c r="A11" s="91" t="s">
        <v>33</v>
      </c>
      <c r="B11" s="92" t="s">
        <v>161</v>
      </c>
      <c r="C11" s="32">
        <f>C4*C10</f>
        <v>66</v>
      </c>
      <c r="D11" s="32">
        <f>C4*D10</f>
        <v>52.800000000000004</v>
      </c>
      <c r="E11" s="32">
        <f>C4*E10</f>
        <v>39.6</v>
      </c>
    </row>
    <row r="12" spans="1:8" ht="32.25" x14ac:dyDescent="0.25">
      <c r="A12" s="91" t="s">
        <v>34</v>
      </c>
      <c r="B12" s="92" t="s">
        <v>55</v>
      </c>
      <c r="C12" s="32">
        <f>C11-C9</f>
        <v>-34</v>
      </c>
      <c r="D12" s="32">
        <f>D11-E9</f>
        <v>-47.199999999999996</v>
      </c>
      <c r="E12" s="32">
        <f>E11-E9</f>
        <v>-60.4</v>
      </c>
    </row>
    <row r="13" spans="1:8" ht="30" x14ac:dyDescent="0.25">
      <c r="A13" s="91" t="s">
        <v>35</v>
      </c>
      <c r="B13" s="92" t="s">
        <v>153</v>
      </c>
      <c r="C13" s="32">
        <f>TRUNC((C12*0.75),2)</f>
        <v>-25.5</v>
      </c>
      <c r="D13" s="32">
        <f t="shared" ref="D13:E13" si="0">TRUNC((D12*0.75),2)</f>
        <v>-35.4</v>
      </c>
      <c r="E13" s="32">
        <f t="shared" si="0"/>
        <v>-45.3</v>
      </c>
    </row>
    <row r="14" spans="1:8" ht="32.25" x14ac:dyDescent="0.25">
      <c r="A14" s="91" t="s">
        <v>36</v>
      </c>
      <c r="B14" s="92" t="s">
        <v>162</v>
      </c>
      <c r="C14" s="32">
        <f>C9+C13</f>
        <v>74.5</v>
      </c>
      <c r="D14" s="32">
        <f>E9+D13</f>
        <v>64.599999999999994</v>
      </c>
      <c r="E14" s="32">
        <f>E9+E13</f>
        <v>54.7</v>
      </c>
    </row>
    <row r="15" spans="1:8" ht="30" x14ac:dyDescent="0.25">
      <c r="A15" s="91" t="s">
        <v>37</v>
      </c>
      <c r="B15" s="92" t="s">
        <v>163</v>
      </c>
      <c r="C15" s="32">
        <v>75</v>
      </c>
      <c r="D15" s="32">
        <v>65</v>
      </c>
      <c r="E15" s="32">
        <v>55</v>
      </c>
    </row>
    <row r="16" spans="1:8" ht="15.75" x14ac:dyDescent="0.25">
      <c r="A16" s="113" t="s">
        <v>66</v>
      </c>
      <c r="B16" s="114"/>
      <c r="C16" s="115"/>
      <c r="D16" s="115"/>
      <c r="E16" s="116"/>
    </row>
    <row r="17" spans="1:5" ht="30" x14ac:dyDescent="0.25">
      <c r="A17" s="95" t="s">
        <v>38</v>
      </c>
      <c r="B17" s="96" t="s">
        <v>164</v>
      </c>
      <c r="C17" s="49">
        <f>MIN(C7,C15)</f>
        <v>65</v>
      </c>
      <c r="D17" s="49">
        <f t="shared" ref="D17:E17" si="1">MIN(D7,D15)</f>
        <v>55</v>
      </c>
      <c r="E17" s="49">
        <f t="shared" si="1"/>
        <v>45</v>
      </c>
    </row>
    <row r="18" spans="1:5" ht="78" customHeight="1" x14ac:dyDescent="0.25">
      <c r="A18" s="137" t="s">
        <v>270</v>
      </c>
      <c r="B18" s="137"/>
      <c r="C18" s="137"/>
      <c r="D18" s="137"/>
      <c r="E18" s="137"/>
    </row>
    <row r="19" spans="1:5" ht="19.5" customHeight="1" x14ac:dyDescent="0.25">
      <c r="A19" s="138" t="s">
        <v>98</v>
      </c>
      <c r="B19" s="138"/>
      <c r="C19" s="138"/>
      <c r="D19" s="138"/>
      <c r="E19" s="138"/>
    </row>
    <row r="20" spans="1:5" x14ac:dyDescent="0.25">
      <c r="A20" s="30"/>
      <c r="B20" s="30"/>
      <c r="C20" s="30"/>
      <c r="D20" s="30"/>
      <c r="E20" s="30"/>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9"/>
  <sheetViews>
    <sheetView zoomScaleNormal="100" workbookViewId="0"/>
  </sheetViews>
  <sheetFormatPr defaultRowHeight="15" x14ac:dyDescent="0.25"/>
  <cols>
    <col min="1" max="1" width="17.140625" bestFit="1" customWidth="1"/>
    <col min="2" max="2" width="96" customWidth="1"/>
    <col min="3" max="3" width="16.28515625" customWidth="1"/>
    <col min="4" max="4" width="23.5703125" customWidth="1"/>
    <col min="5" max="5" width="21" bestFit="1" customWidth="1"/>
    <col min="6" max="6" width="25.42578125" customWidth="1"/>
    <col min="7" max="7" width="16.28515625" customWidth="1"/>
    <col min="8" max="8" width="11.140625" customWidth="1"/>
    <col min="9" max="9" width="18.28515625" bestFit="1" customWidth="1"/>
    <col min="10" max="10" width="12.42578125" bestFit="1" customWidth="1"/>
    <col min="11" max="11" width="18.5703125" bestFit="1" customWidth="1"/>
    <col min="12" max="12" width="16.5703125" bestFit="1" customWidth="1"/>
    <col min="13" max="13" width="12.5703125" bestFit="1" customWidth="1"/>
    <col min="14" max="18" width="13.28515625" customWidth="1"/>
    <col min="19" max="19" width="19.5703125" customWidth="1"/>
    <col min="20" max="20" width="10.42578125" customWidth="1"/>
    <col min="21" max="21" width="10.140625" bestFit="1" customWidth="1"/>
    <col min="22" max="22" width="12.140625" bestFit="1" customWidth="1"/>
    <col min="23" max="23" width="15.85546875" customWidth="1"/>
    <col min="25" max="25" width="18.85546875" customWidth="1"/>
    <col min="26" max="26" width="6.5703125" customWidth="1"/>
    <col min="27" max="27" width="10.140625" bestFit="1" customWidth="1"/>
    <col min="28" max="28" width="12.140625" bestFit="1" customWidth="1"/>
    <col min="31" max="31" width="15.42578125" bestFit="1" customWidth="1"/>
    <col min="32" max="32" width="7" bestFit="1" customWidth="1"/>
    <col min="33" max="33" width="11.7109375" customWidth="1"/>
  </cols>
  <sheetData>
    <row r="1" spans="1:5" ht="18.75" x14ac:dyDescent="0.25">
      <c r="A1" s="134" t="s">
        <v>215</v>
      </c>
      <c r="B1" s="135"/>
      <c r="C1" s="135"/>
      <c r="D1" s="135"/>
      <c r="E1" s="135"/>
    </row>
    <row r="2" spans="1:5" ht="18.75" x14ac:dyDescent="0.25">
      <c r="A2" s="90" t="s">
        <v>23</v>
      </c>
      <c r="B2" s="90" t="s">
        <v>24</v>
      </c>
      <c r="C2" s="90" t="s">
        <v>4</v>
      </c>
      <c r="D2" s="90" t="s">
        <v>3</v>
      </c>
      <c r="E2" s="90" t="s">
        <v>2</v>
      </c>
    </row>
    <row r="3" spans="1:5" ht="15.75" x14ac:dyDescent="0.25">
      <c r="A3" s="113" t="s">
        <v>68</v>
      </c>
      <c r="B3" s="114"/>
      <c r="C3" s="115"/>
      <c r="D3" s="115"/>
      <c r="E3" s="116"/>
    </row>
    <row r="4" spans="1:5" ht="17.25" x14ac:dyDescent="0.25">
      <c r="A4" s="91" t="s">
        <v>27</v>
      </c>
      <c r="B4" s="92" t="s">
        <v>155</v>
      </c>
      <c r="C4" s="136">
        <v>71</v>
      </c>
      <c r="D4" s="136"/>
      <c r="E4" s="136"/>
    </row>
    <row r="5" spans="1:5" x14ac:dyDescent="0.25">
      <c r="A5" s="91" t="s">
        <v>28</v>
      </c>
      <c r="B5" s="92" t="s">
        <v>156</v>
      </c>
      <c r="C5" s="31">
        <v>0.5</v>
      </c>
      <c r="D5" s="31">
        <v>0.42</v>
      </c>
      <c r="E5" s="31">
        <v>0.35</v>
      </c>
    </row>
    <row r="6" spans="1:5" ht="30" x14ac:dyDescent="0.25">
      <c r="A6" s="91" t="s">
        <v>29</v>
      </c>
      <c r="B6" s="92" t="s">
        <v>157</v>
      </c>
      <c r="C6" s="32">
        <f>C4*C5</f>
        <v>35.5</v>
      </c>
      <c r="D6" s="32">
        <f>C4*D5</f>
        <v>29.82</v>
      </c>
      <c r="E6" s="32">
        <f>C4*E5</f>
        <v>24.849999999999998</v>
      </c>
    </row>
    <row r="7" spans="1:5" ht="30" x14ac:dyDescent="0.25">
      <c r="A7" s="91" t="s">
        <v>30</v>
      </c>
      <c r="B7" s="92" t="s">
        <v>158</v>
      </c>
      <c r="C7" s="32">
        <v>35</v>
      </c>
      <c r="D7" s="32">
        <v>30</v>
      </c>
      <c r="E7" s="32">
        <v>25</v>
      </c>
    </row>
    <row r="8" spans="1:5" ht="15.75" x14ac:dyDescent="0.25">
      <c r="A8" s="113" t="s">
        <v>67</v>
      </c>
      <c r="B8" s="114"/>
      <c r="C8" s="115"/>
      <c r="D8" s="115"/>
      <c r="E8" s="116"/>
    </row>
    <row r="9" spans="1:5" x14ac:dyDescent="0.25">
      <c r="A9" s="93" t="s">
        <v>31</v>
      </c>
      <c r="B9" s="94" t="s">
        <v>159</v>
      </c>
      <c r="C9" s="34">
        <v>30</v>
      </c>
      <c r="D9" s="33" t="s">
        <v>1</v>
      </c>
      <c r="E9" s="34">
        <v>30</v>
      </c>
    </row>
    <row r="10" spans="1:5" x14ac:dyDescent="0.25">
      <c r="A10" s="91" t="s">
        <v>32</v>
      </c>
      <c r="B10" s="92" t="s">
        <v>160</v>
      </c>
      <c r="C10" s="31">
        <v>0.5</v>
      </c>
      <c r="D10" s="31">
        <v>0.4</v>
      </c>
      <c r="E10" s="31">
        <v>0.3</v>
      </c>
    </row>
    <row r="11" spans="1:5" ht="30" x14ac:dyDescent="0.25">
      <c r="A11" s="91" t="s">
        <v>33</v>
      </c>
      <c r="B11" s="92" t="s">
        <v>161</v>
      </c>
      <c r="C11" s="32">
        <f>C4*C10</f>
        <v>35.5</v>
      </c>
      <c r="D11" s="32">
        <f>C4*D10</f>
        <v>28.400000000000002</v>
      </c>
      <c r="E11" s="32">
        <f>C4*E10</f>
        <v>21.3</v>
      </c>
    </row>
    <row r="12" spans="1:5" ht="32.25" x14ac:dyDescent="0.25">
      <c r="A12" s="91" t="s">
        <v>34</v>
      </c>
      <c r="B12" s="92" t="s">
        <v>55</v>
      </c>
      <c r="C12" s="32">
        <f>C11-C9</f>
        <v>5.5</v>
      </c>
      <c r="D12" s="32">
        <f>D11-E9</f>
        <v>-1.5999999999999979</v>
      </c>
      <c r="E12" s="32">
        <f>E11-E9</f>
        <v>-8.6999999999999993</v>
      </c>
    </row>
    <row r="13" spans="1:5" ht="30" x14ac:dyDescent="0.25">
      <c r="A13" s="91" t="s">
        <v>35</v>
      </c>
      <c r="B13" s="92" t="s">
        <v>153</v>
      </c>
      <c r="C13" s="32">
        <f>TRUNC((C12*0.75),2)</f>
        <v>4.12</v>
      </c>
      <c r="D13" s="32">
        <f t="shared" ref="D13:E13" si="0">TRUNC((D12*0.75),2)</f>
        <v>-1.2</v>
      </c>
      <c r="E13" s="32">
        <f t="shared" si="0"/>
        <v>-6.52</v>
      </c>
    </row>
    <row r="14" spans="1:5" ht="32.25" x14ac:dyDescent="0.25">
      <c r="A14" s="91" t="s">
        <v>36</v>
      </c>
      <c r="B14" s="92" t="s">
        <v>162</v>
      </c>
      <c r="C14" s="32">
        <f>C9+C13</f>
        <v>34.119999999999997</v>
      </c>
      <c r="D14" s="32">
        <f>E9+D13</f>
        <v>28.8</v>
      </c>
      <c r="E14" s="32">
        <f>E9+E13</f>
        <v>23.48</v>
      </c>
    </row>
    <row r="15" spans="1:5" ht="30" x14ac:dyDescent="0.25">
      <c r="A15" s="91" t="s">
        <v>37</v>
      </c>
      <c r="B15" s="92" t="s">
        <v>163</v>
      </c>
      <c r="C15" s="32">
        <v>35</v>
      </c>
      <c r="D15" s="32">
        <v>30</v>
      </c>
      <c r="E15" s="32">
        <v>25</v>
      </c>
    </row>
    <row r="16" spans="1:5" ht="15.75" x14ac:dyDescent="0.25">
      <c r="A16" s="113" t="s">
        <v>66</v>
      </c>
      <c r="B16" s="114"/>
      <c r="C16" s="115"/>
      <c r="D16" s="115"/>
      <c r="E16" s="116"/>
    </row>
    <row r="17" spans="1:5" x14ac:dyDescent="0.25">
      <c r="A17" s="95" t="s">
        <v>38</v>
      </c>
      <c r="B17" s="96" t="s">
        <v>164</v>
      </c>
      <c r="C17" s="49">
        <f>MIN(C7,C15)</f>
        <v>35</v>
      </c>
      <c r="D17" s="49">
        <f>MIN(D7,D15)</f>
        <v>30</v>
      </c>
      <c r="E17" s="49">
        <f>MIN(E7,E15)</f>
        <v>25</v>
      </c>
    </row>
    <row r="18" spans="1:5" ht="93.75" customHeight="1" x14ac:dyDescent="0.25">
      <c r="A18" s="161" t="s">
        <v>271</v>
      </c>
      <c r="B18" s="137"/>
      <c r="C18" s="137"/>
      <c r="D18" s="137"/>
      <c r="E18" s="137"/>
    </row>
    <row r="19" spans="1:5" ht="17.45" customHeight="1" x14ac:dyDescent="0.25">
      <c r="A19" s="138" t="s">
        <v>98</v>
      </c>
      <c r="B19" s="138"/>
      <c r="C19" s="138"/>
      <c r="D19" s="138"/>
      <c r="E19" s="13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9"/>
  <sheetViews>
    <sheetView zoomScaleNormal="100" workbookViewId="0"/>
  </sheetViews>
  <sheetFormatPr defaultRowHeight="15" x14ac:dyDescent="0.25"/>
  <cols>
    <col min="1" max="1" width="17.140625" bestFit="1" customWidth="1"/>
    <col min="2" max="2" width="111.85546875" customWidth="1"/>
    <col min="3" max="3" width="15.5703125" bestFit="1" customWidth="1"/>
    <col min="4" max="4" width="24.140625" customWidth="1"/>
    <col min="5" max="5" width="28.28515625"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34" t="s">
        <v>216</v>
      </c>
      <c r="B1" s="135"/>
      <c r="C1" s="135"/>
      <c r="D1" s="135"/>
      <c r="E1" s="135"/>
    </row>
    <row r="2" spans="1:5" ht="18.75" x14ac:dyDescent="0.25">
      <c r="A2" s="90" t="s">
        <v>23</v>
      </c>
      <c r="B2" s="90" t="s">
        <v>24</v>
      </c>
      <c r="C2" s="90" t="s">
        <v>4</v>
      </c>
      <c r="D2" s="90" t="s">
        <v>3</v>
      </c>
      <c r="E2" s="90" t="s">
        <v>2</v>
      </c>
    </row>
    <row r="3" spans="1:5" ht="15.75" x14ac:dyDescent="0.25">
      <c r="A3" s="113" t="s">
        <v>68</v>
      </c>
      <c r="B3" s="114"/>
      <c r="C3" s="115"/>
      <c r="D3" s="115"/>
      <c r="E3" s="116"/>
    </row>
    <row r="4" spans="1:5" ht="17.25" x14ac:dyDescent="0.25">
      <c r="A4" s="91" t="s">
        <v>27</v>
      </c>
      <c r="B4" s="99" t="s">
        <v>168</v>
      </c>
      <c r="C4" s="136">
        <v>59</v>
      </c>
      <c r="D4" s="136"/>
      <c r="E4" s="136"/>
    </row>
    <row r="5" spans="1:5" x14ac:dyDescent="0.25">
      <c r="A5" s="91" t="s">
        <v>28</v>
      </c>
      <c r="B5" s="92" t="s">
        <v>156</v>
      </c>
      <c r="C5" s="31">
        <v>0.5</v>
      </c>
      <c r="D5" s="31">
        <v>0.42</v>
      </c>
      <c r="E5" s="31">
        <v>0.35</v>
      </c>
    </row>
    <row r="6" spans="1:5" ht="30" x14ac:dyDescent="0.25">
      <c r="A6" s="91" t="s">
        <v>29</v>
      </c>
      <c r="B6" s="92" t="s">
        <v>157</v>
      </c>
      <c r="C6" s="32">
        <f>C4*C5</f>
        <v>29.5</v>
      </c>
      <c r="D6" s="32">
        <f>C4*D5</f>
        <v>24.779999999999998</v>
      </c>
      <c r="E6" s="32">
        <f>C4*E5</f>
        <v>20.65</v>
      </c>
    </row>
    <row r="7" spans="1:5" ht="30" x14ac:dyDescent="0.25">
      <c r="A7" s="91" t="s">
        <v>30</v>
      </c>
      <c r="B7" s="92" t="s">
        <v>158</v>
      </c>
      <c r="C7" s="32">
        <v>30</v>
      </c>
      <c r="D7" s="32">
        <v>25</v>
      </c>
      <c r="E7" s="32">
        <v>20</v>
      </c>
    </row>
    <row r="8" spans="1:5" ht="15.75" x14ac:dyDescent="0.25">
      <c r="A8" s="113" t="s">
        <v>67</v>
      </c>
      <c r="B8" s="114"/>
      <c r="C8" s="115"/>
      <c r="D8" s="115"/>
      <c r="E8" s="116"/>
    </row>
    <row r="9" spans="1:5" x14ac:dyDescent="0.25">
      <c r="A9" s="93" t="s">
        <v>31</v>
      </c>
      <c r="B9" s="94" t="s">
        <v>159</v>
      </c>
      <c r="C9" s="34">
        <v>30</v>
      </c>
      <c r="D9" s="33" t="s">
        <v>1</v>
      </c>
      <c r="E9" s="34">
        <v>30</v>
      </c>
    </row>
    <row r="10" spans="1:5" x14ac:dyDescent="0.25">
      <c r="A10" s="91" t="s">
        <v>32</v>
      </c>
      <c r="B10" s="92" t="s">
        <v>160</v>
      </c>
      <c r="C10" s="31">
        <v>0.5</v>
      </c>
      <c r="D10" s="31">
        <v>0.4</v>
      </c>
      <c r="E10" s="31">
        <v>0.3</v>
      </c>
    </row>
    <row r="11" spans="1:5" ht="30" x14ac:dyDescent="0.25">
      <c r="A11" s="91" t="s">
        <v>33</v>
      </c>
      <c r="B11" s="92" t="s">
        <v>161</v>
      </c>
      <c r="C11" s="32">
        <f>C4*C10</f>
        <v>29.5</v>
      </c>
      <c r="D11" s="32">
        <f>C4*D10</f>
        <v>23.6</v>
      </c>
      <c r="E11" s="32">
        <f>C4*E10</f>
        <v>17.7</v>
      </c>
    </row>
    <row r="12" spans="1:5" ht="17.25" x14ac:dyDescent="0.25">
      <c r="A12" s="91" t="s">
        <v>34</v>
      </c>
      <c r="B12" s="92" t="s">
        <v>55</v>
      </c>
      <c r="C12" s="32">
        <f>C11-C9</f>
        <v>-0.5</v>
      </c>
      <c r="D12" s="32">
        <f>D11-E9</f>
        <v>-6.3999999999999986</v>
      </c>
      <c r="E12" s="32">
        <f>E11-E9</f>
        <v>-12.3</v>
      </c>
    </row>
    <row r="13" spans="1:5" x14ac:dyDescent="0.25">
      <c r="A13" s="91" t="s">
        <v>35</v>
      </c>
      <c r="B13" s="92" t="s">
        <v>153</v>
      </c>
      <c r="C13" s="32">
        <f>TRUNC((C12*0.75),2)</f>
        <v>-0.37</v>
      </c>
      <c r="D13" s="32">
        <f t="shared" ref="D13:E13" si="0">TRUNC((D12*0.75),2)</f>
        <v>-4.8</v>
      </c>
      <c r="E13" s="32">
        <f t="shared" si="0"/>
        <v>-9.2200000000000006</v>
      </c>
    </row>
    <row r="14" spans="1:5" ht="32.25" x14ac:dyDescent="0.25">
      <c r="A14" s="91" t="s">
        <v>36</v>
      </c>
      <c r="B14" s="92" t="s">
        <v>162</v>
      </c>
      <c r="C14" s="32">
        <f>C9+C13</f>
        <v>29.63</v>
      </c>
      <c r="D14" s="32">
        <f>E9+D13</f>
        <v>25.2</v>
      </c>
      <c r="E14" s="32">
        <f>E9+E13</f>
        <v>20.78</v>
      </c>
    </row>
    <row r="15" spans="1:5" ht="30" x14ac:dyDescent="0.25">
      <c r="A15" s="91" t="s">
        <v>37</v>
      </c>
      <c r="B15" s="92" t="s">
        <v>163</v>
      </c>
      <c r="C15" s="32">
        <v>30</v>
      </c>
      <c r="D15" s="32">
        <v>25</v>
      </c>
      <c r="E15" s="32">
        <v>20</v>
      </c>
    </row>
    <row r="16" spans="1:5" ht="15.75" x14ac:dyDescent="0.25">
      <c r="A16" s="113" t="s">
        <v>66</v>
      </c>
      <c r="B16" s="114"/>
      <c r="C16" s="115"/>
      <c r="D16" s="115"/>
      <c r="E16" s="116"/>
    </row>
    <row r="17" spans="1:5" x14ac:dyDescent="0.25">
      <c r="A17" s="95" t="s">
        <v>38</v>
      </c>
      <c r="B17" s="96" t="s">
        <v>164</v>
      </c>
      <c r="C17" s="49">
        <f>MIN(C7,C15)</f>
        <v>30</v>
      </c>
      <c r="D17" s="49">
        <f t="shared" ref="D17:E17" si="1">MIN(D7,D15)</f>
        <v>25</v>
      </c>
      <c r="E17" s="49">
        <f t="shared" si="1"/>
        <v>20</v>
      </c>
    </row>
    <row r="18" spans="1:5" ht="49.5" customHeight="1" x14ac:dyDescent="0.25">
      <c r="A18" s="161" t="s">
        <v>272</v>
      </c>
      <c r="B18" s="161"/>
      <c r="C18" s="161"/>
      <c r="D18" s="161"/>
      <c r="E18" s="161"/>
    </row>
    <row r="19" spans="1:5" ht="18.600000000000001" customHeight="1" x14ac:dyDescent="0.25">
      <c r="A19" s="138" t="s">
        <v>98</v>
      </c>
      <c r="B19" s="138"/>
      <c r="C19" s="138"/>
      <c r="D19" s="138"/>
      <c r="E19" s="13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
  <dimension ref="A1:F23"/>
  <sheetViews>
    <sheetView zoomScaleNormal="100" workbookViewId="0"/>
  </sheetViews>
  <sheetFormatPr defaultRowHeight="15" x14ac:dyDescent="0.25"/>
  <cols>
    <col min="1" max="1" width="52" customWidth="1"/>
    <col min="2"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4" ht="18" customHeight="1" x14ac:dyDescent="0.25">
      <c r="A1" s="140" t="s">
        <v>217</v>
      </c>
      <c r="B1" s="141"/>
      <c r="C1" s="141"/>
      <c r="D1" s="139"/>
    </row>
    <row r="2" spans="1:4" x14ac:dyDescent="0.25">
      <c r="A2" s="10" t="s">
        <v>24</v>
      </c>
      <c r="B2" s="10" t="s">
        <v>4</v>
      </c>
      <c r="C2" s="10" t="s">
        <v>3</v>
      </c>
      <c r="D2" s="10" t="s">
        <v>2</v>
      </c>
    </row>
    <row r="3" spans="1:4" ht="30" x14ac:dyDescent="0.25">
      <c r="A3" s="11" t="s">
        <v>169</v>
      </c>
      <c r="B3" s="59">
        <v>140</v>
      </c>
      <c r="C3" s="59">
        <v>125</v>
      </c>
      <c r="D3" s="59">
        <v>110</v>
      </c>
    </row>
    <row r="23" spans="6:6" x14ac:dyDescent="0.25">
      <c r="F23" t="s">
        <v>0</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8BE8DCEAD381A4BB9937E948272ADE6" ma:contentTypeVersion="10" ma:contentTypeDescription="Create a new document." ma:contentTypeScope="" ma:versionID="4251cee26d8c0f90c1af9c3b9eb7a0b3">
  <xsd:schema xmlns:xsd="http://www.w3.org/2001/XMLSchema" xmlns:xs="http://www.w3.org/2001/XMLSchema" xmlns:p="http://schemas.microsoft.com/office/2006/metadata/properties" xmlns:ns2="a2c7f3f1-d9c3-4638-b6bb-e7c7bf0c6f87" targetNamespace="http://schemas.microsoft.com/office/2006/metadata/properties" ma:root="true" ma:fieldsID="124c6610bb919f0e6530cb13f392d027" ns2:_="">
    <xsd:import namespace="a2c7f3f1-d9c3-4638-b6bb-e7c7bf0c6f8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c7f3f1-d9c3-4638-b6bb-e7c7bf0c6f8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2D09F-0D85-43BF-B412-BF9C0005CD97}">
  <ds:schemaRefs>
    <ds:schemaRef ds:uri="http://purl.org/dc/dcmitype/"/>
    <ds:schemaRef ds:uri="http://schemas.openxmlformats.org/package/2006/metadata/core-properties"/>
    <ds:schemaRef ds:uri="http://schemas.microsoft.com/office/2006/documentManagement/types"/>
    <ds:schemaRef ds:uri="http://www.w3.org/XML/1998/namespace"/>
    <ds:schemaRef ds:uri="http://purl.org/dc/terms/"/>
    <ds:schemaRef ds:uri="http://purl.org/dc/elements/1.1/"/>
    <ds:schemaRef ds:uri="http://schemas.microsoft.com/office/infopath/2007/PartnerControls"/>
    <ds:schemaRef ds:uri="a2c7f3f1-d9c3-4638-b6bb-e7c7bf0c6f87"/>
    <ds:schemaRef ds:uri="http://schemas.microsoft.com/office/2006/metadata/properties"/>
  </ds:schemaRefs>
</ds:datastoreItem>
</file>

<file path=customXml/itemProps2.xml><?xml version="1.0" encoding="utf-8"?>
<ds:datastoreItem xmlns:ds="http://schemas.openxmlformats.org/officeDocument/2006/customXml" ds:itemID="{4F3AF907-9582-4F95-BE86-52F3F80D08D1}">
  <ds:schemaRefs>
    <ds:schemaRef ds:uri="Microsoft.SharePoint.Taxonomy.ContentTypeSync"/>
  </ds:schemaRefs>
</ds:datastoreItem>
</file>

<file path=customXml/itemProps3.xml><?xml version="1.0" encoding="utf-8"?>
<ds:datastoreItem xmlns:ds="http://schemas.openxmlformats.org/officeDocument/2006/customXml" ds:itemID="{BE573A65-3CA0-47B1-8D07-0FEEF91367B5}">
  <ds:schemaRefs>
    <ds:schemaRef ds:uri="http://schemas.microsoft.com/sharepoint/v3/contenttype/forms"/>
  </ds:schemaRefs>
</ds:datastoreItem>
</file>

<file path=customXml/itemProps4.xml><?xml version="1.0" encoding="utf-8"?>
<ds:datastoreItem xmlns:ds="http://schemas.openxmlformats.org/officeDocument/2006/customXml" ds:itemID="{A4EA2633-5A45-4DE2-9411-090381932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c7f3f1-d9c3-4638-b6bb-e7c7bf0c6f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MOOP Limits</vt:lpstr>
      <vt:lpstr>Inpatient Hospital Acute</vt:lpstr>
      <vt:lpstr>Inpatient Hospital Psychiatric</vt:lpstr>
      <vt:lpstr>Skilled Nursing Facility</vt:lpstr>
      <vt:lpstr>Cardiac Rehabilitation Services</vt:lpstr>
      <vt:lpstr>Intensive Cardiac Rehabilitatio</vt:lpstr>
      <vt:lpstr>Pulmonary Rehabilitation Servic</vt:lpstr>
      <vt:lpstr>SET for PAD</vt:lpstr>
      <vt:lpstr>Emergency Services</vt:lpstr>
      <vt:lpstr>Urgently Needed Services</vt:lpstr>
      <vt:lpstr>Partial Hospitalization</vt:lpstr>
      <vt:lpstr>Home Health</vt:lpstr>
      <vt:lpstr>Primary Care Physician</vt:lpstr>
      <vt:lpstr>Chiropractic Care</vt:lpstr>
      <vt:lpstr>Occupational Therapy</vt:lpstr>
      <vt:lpstr>Physician Specialist</vt:lpstr>
      <vt:lpstr>Mental Health Specialty Service</vt:lpstr>
      <vt:lpstr>Psychiatric Services</vt:lpstr>
      <vt:lpstr>PT &amp; Speech-language Pathology</vt:lpstr>
      <vt:lpstr>Therapeutic Radiological Serv</vt:lpstr>
      <vt:lpstr>DME Diabetic Shoes or Inserts</vt:lpstr>
      <vt:lpstr>Dialysis Services</vt:lpstr>
      <vt:lpstr>Part B Drugs-Insulin</vt:lpstr>
      <vt:lpstr>Part B-Chemo Radiation Drugs</vt:lpstr>
      <vt:lpstr>Part B Drugs-Other</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CMS / HHS</dc:creator>
  <cp:keywords/>
  <dc:description/>
  <cp:lastModifiedBy>Dean, Robert (CMS/OACT)</cp:lastModifiedBy>
  <cp:revision/>
  <dcterms:created xsi:type="dcterms:W3CDTF">2019-05-15T12:59:00Z</dcterms:created>
  <dcterms:modified xsi:type="dcterms:W3CDTF">2024-02-20T13:51:37Z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0x010100C8BE8DCEAD381A4BB9937E948272ADE6</vt:lpwstr>
  </property>
</Properties>
</file>